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3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drawings/drawing4.xml" ContentType="application/vnd.openxmlformats-officedocument.drawing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drawings/drawing5.xml" ContentType="application/vnd.openxmlformats-officedocument.drawing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H:\daten\42. Programme\"/>
    </mc:Choice>
  </mc:AlternateContent>
  <xr:revisionPtr revIDLastSave="0" documentId="8_{E2FDDDBF-0015-4C0E-A9B1-F1F8B44761F2}" xr6:coauthVersionLast="47" xr6:coauthVersionMax="47" xr10:uidLastSave="{00000000-0000-0000-0000-000000000000}"/>
  <workbookProtection lockStructure="1"/>
  <bookViews>
    <workbookView xWindow="-120" yWindow="-120" windowWidth="38640" windowHeight="21120" xr2:uid="{00000000-000D-0000-FFFF-FFFF00000000}"/>
  </bookViews>
  <sheets>
    <sheet name="Übersicht" sheetId="4" r:id="rId1"/>
    <sheet name="Prozesskostenrechner" sheetId="1" r:id="rId2"/>
    <sheet name="Kostenquotenrechner" sheetId="16" r:id="rId3"/>
    <sheet name="PKH-VKH-Rechner" sheetId="10" r:id="rId4"/>
    <sheet name="Zinsrechner" sheetId="5" r:id="rId5"/>
    <sheet name="Fristenrechner" sheetId="7" r:id="rId6"/>
    <sheet name="Druckansicht Prozesskosten" sheetId="14" r:id="rId7"/>
    <sheet name="Druckansicht Kostenquoten" sheetId="18" r:id="rId8"/>
    <sheet name="Druckansicht PKH-VKH" sheetId="15" r:id="rId9"/>
    <sheet name="HF_PKR" sheetId="2" state="hidden" r:id="rId10"/>
    <sheet name="HF_KQR" sheetId="17" state="hidden" r:id="rId11"/>
    <sheet name="HF_PKH" sheetId="11" state="hidden" r:id="rId12"/>
    <sheet name="HF_ZR" sheetId="6" state="hidden" r:id="rId13"/>
    <sheet name="HF_FR" sheetId="8" state="hidden" r:id="rId14"/>
    <sheet name="FT_FR" sheetId="9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68" i="6" l="1"/>
  <c r="V68" i="6"/>
  <c r="U68" i="6"/>
  <c r="Q68" i="6"/>
  <c r="O68" i="6"/>
  <c r="N68" i="6"/>
  <c r="J68" i="6"/>
  <c r="H68" i="6"/>
  <c r="G68" i="6"/>
  <c r="E1" i="11"/>
  <c r="K68" i="6" l="1"/>
  <c r="I68" i="6"/>
  <c r="L68" i="6"/>
  <c r="R68" i="6"/>
  <c r="P68" i="6"/>
  <c r="S68" i="6"/>
  <c r="Y68" i="6"/>
  <c r="W68" i="6"/>
  <c r="Z68" i="6"/>
  <c r="X10" i="11"/>
  <c r="X17" i="11"/>
  <c r="X18" i="11"/>
  <c r="X27" i="11"/>
  <c r="X33" i="11"/>
  <c r="X39" i="11"/>
  <c r="X45" i="11"/>
  <c r="V67" i="6"/>
  <c r="U67" i="6"/>
  <c r="O67" i="6"/>
  <c r="N67" i="6"/>
  <c r="H67" i="6"/>
  <c r="G67" i="6"/>
  <c r="V66" i="6"/>
  <c r="U66" i="6"/>
  <c r="O66" i="6"/>
  <c r="N66" i="6"/>
  <c r="H66" i="6"/>
  <c r="G66" i="6"/>
  <c r="I67" i="6" l="1"/>
  <c r="P67" i="6"/>
  <c r="W67" i="6"/>
  <c r="I66" i="6"/>
  <c r="P66" i="6"/>
  <c r="W66" i="6"/>
  <c r="AG38" i="2"/>
  <c r="W38" i="2"/>
  <c r="M38" i="2"/>
  <c r="L6" i="1" l="1" a="1"/>
  <c r="L6" i="1" s="1"/>
  <c r="B1" i="2" l="1"/>
  <c r="AG33" i="2"/>
  <c r="AG36" i="2" s="1"/>
  <c r="AN31" i="2"/>
  <c r="AM31" i="2"/>
  <c r="AL31" i="2"/>
  <c r="AK31" i="2"/>
  <c r="AJ31" i="2"/>
  <c r="AI31" i="2"/>
  <c r="AH31" i="2"/>
  <c r="AJ29" i="2"/>
  <c r="AG16" i="2"/>
  <c r="AG11" i="2"/>
  <c r="AG14" i="2" s="1"/>
  <c r="AN9" i="2"/>
  <c r="AM9" i="2"/>
  <c r="AL9" i="2"/>
  <c r="AK9" i="2"/>
  <c r="AJ9" i="2"/>
  <c r="AI9" i="2"/>
  <c r="AH9" i="2"/>
  <c r="AJ7" i="2"/>
  <c r="E43" i="2" l="1"/>
  <c r="E42" i="2"/>
  <c r="E20" i="2"/>
  <c r="E21" i="2"/>
  <c r="Z15" i="9"/>
  <c r="N15" i="9"/>
  <c r="V65" i="6"/>
  <c r="U65" i="6"/>
  <c r="O65" i="6"/>
  <c r="N65" i="6"/>
  <c r="H65" i="6"/>
  <c r="G65" i="6"/>
  <c r="I65" i="6" l="1"/>
  <c r="P65" i="6"/>
  <c r="W65" i="6"/>
  <c r="V64" i="6"/>
  <c r="U64" i="6"/>
  <c r="O64" i="6"/>
  <c r="N64" i="6"/>
  <c r="H64" i="6"/>
  <c r="G64" i="6"/>
  <c r="I64" i="6" l="1"/>
  <c r="P64" i="6"/>
  <c r="W64" i="6"/>
  <c r="V63" i="6"/>
  <c r="U63" i="6"/>
  <c r="O63" i="6"/>
  <c r="N63" i="6"/>
  <c r="H63" i="6"/>
  <c r="G63" i="6"/>
  <c r="I63" i="6" l="1"/>
  <c r="P63" i="6"/>
  <c r="W63" i="6"/>
  <c r="G71" i="11"/>
  <c r="F71" i="11"/>
  <c r="V62" i="6" l="1"/>
  <c r="U62" i="6"/>
  <c r="O62" i="6"/>
  <c r="N62" i="6"/>
  <c r="H62" i="6"/>
  <c r="G62" i="6"/>
  <c r="P62" i="6" l="1"/>
  <c r="I62" i="6"/>
  <c r="W62" i="6"/>
  <c r="N6" i="9"/>
  <c r="Z6" i="9"/>
  <c r="X9" i="11" l="1"/>
  <c r="V61" i="6"/>
  <c r="U61" i="6"/>
  <c r="O61" i="6"/>
  <c r="N61" i="6"/>
  <c r="H61" i="6"/>
  <c r="G61" i="6"/>
  <c r="I61" i="6" l="1"/>
  <c r="U9" i="11"/>
  <c r="V9" i="11"/>
  <c r="P61" i="6"/>
  <c r="W61" i="6"/>
  <c r="H72" i="11"/>
  <c r="G72" i="11"/>
  <c r="F72" i="11"/>
  <c r="V60" i="6"/>
  <c r="U60" i="6"/>
  <c r="O60" i="6"/>
  <c r="N60" i="6"/>
  <c r="H60" i="6"/>
  <c r="G60" i="6"/>
  <c r="W60" i="6" l="1"/>
  <c r="I60" i="6"/>
  <c r="P60" i="6"/>
  <c r="E74" i="11"/>
  <c r="E73" i="11"/>
  <c r="E71" i="11"/>
  <c r="E69" i="11"/>
  <c r="E70" i="11"/>
  <c r="E68" i="11"/>
  <c r="V59" i="6"/>
  <c r="U59" i="6"/>
  <c r="O59" i="6"/>
  <c r="N59" i="6"/>
  <c r="H59" i="6"/>
  <c r="G59" i="6"/>
  <c r="I59" i="6" l="1"/>
  <c r="W59" i="6"/>
  <c r="E75" i="11"/>
  <c r="D43" i="10" s="1"/>
  <c r="P59" i="6"/>
  <c r="V58" i="6"/>
  <c r="U58" i="6"/>
  <c r="O58" i="6"/>
  <c r="N58" i="6"/>
  <c r="H58" i="6"/>
  <c r="G58" i="6"/>
  <c r="I58" i="6" l="1"/>
  <c r="P58" i="6"/>
  <c r="W58" i="6"/>
  <c r="L11" i="10" l="1" a="1"/>
  <c r="L11" i="10" s="1"/>
  <c r="H60" i="15" l="1"/>
  <c r="E60" i="15"/>
  <c r="D60" i="15"/>
  <c r="B60" i="15"/>
  <c r="H59" i="15"/>
  <c r="E59" i="15"/>
  <c r="D59" i="15"/>
  <c r="B59" i="15"/>
  <c r="M61" i="10"/>
  <c r="L61" i="10"/>
  <c r="M60" i="10"/>
  <c r="L60" i="10"/>
  <c r="E2" i="11" l="1"/>
  <c r="D10" i="15"/>
  <c r="W10" i="11" l="1"/>
  <c r="W17" i="11"/>
  <c r="W27" i="11"/>
  <c r="W33" i="11"/>
  <c r="W39" i="11"/>
  <c r="W45" i="11"/>
  <c r="V45" i="11"/>
  <c r="V39" i="11"/>
  <c r="V33" i="11"/>
  <c r="V27" i="11"/>
  <c r="V17" i="11"/>
  <c r="V18" i="11" s="1"/>
  <c r="V10" i="11"/>
  <c r="U33" i="11"/>
  <c r="U27" i="11"/>
  <c r="U17" i="11"/>
  <c r="U18" i="11" s="1"/>
  <c r="U39" i="11"/>
  <c r="U10" i="11"/>
  <c r="W18" i="11"/>
  <c r="U45" i="11"/>
  <c r="T45" i="11"/>
  <c r="T17" i="11"/>
  <c r="T18" i="11" s="1"/>
  <c r="T39" i="11"/>
  <c r="T10" i="11"/>
  <c r="T33" i="11"/>
  <c r="T27" i="11"/>
  <c r="S9" i="11"/>
  <c r="T9" i="11"/>
  <c r="S45" i="11"/>
  <c r="S17" i="11"/>
  <c r="S18" i="11" s="1"/>
  <c r="S39" i="11"/>
  <c r="S10" i="11"/>
  <c r="S27" i="11"/>
  <c r="S33" i="11"/>
  <c r="V57" i="6"/>
  <c r="U57" i="6"/>
  <c r="O57" i="6"/>
  <c r="N57" i="6"/>
  <c r="H57" i="6"/>
  <c r="G57" i="6"/>
  <c r="W33" i="2"/>
  <c r="W36" i="2" s="1"/>
  <c r="AD31" i="2"/>
  <c r="AC31" i="2"/>
  <c r="AB31" i="2"/>
  <c r="AA31" i="2"/>
  <c r="Z31" i="2"/>
  <c r="Y31" i="2"/>
  <c r="X31" i="2"/>
  <c r="Z29" i="2"/>
  <c r="I57" i="6" l="1"/>
  <c r="P57" i="6"/>
  <c r="W57" i="6"/>
  <c r="W16" i="2"/>
  <c r="W11" i="2"/>
  <c r="W14" i="2" s="1"/>
  <c r="AD9" i="2"/>
  <c r="AC9" i="2"/>
  <c r="AB9" i="2"/>
  <c r="AA9" i="2"/>
  <c r="Z9" i="2"/>
  <c r="Y9" i="2"/>
  <c r="X9" i="2"/>
  <c r="Z7" i="2"/>
  <c r="V56" i="6" l="1"/>
  <c r="U56" i="6"/>
  <c r="O56" i="6"/>
  <c r="N56" i="6"/>
  <c r="H56" i="6"/>
  <c r="G56" i="6"/>
  <c r="W56" i="6" l="1"/>
  <c r="I56" i="6"/>
  <c r="P56" i="6"/>
  <c r="V55" i="6"/>
  <c r="U55" i="6"/>
  <c r="O55" i="6"/>
  <c r="N55" i="6"/>
  <c r="H55" i="6"/>
  <c r="G55" i="6"/>
  <c r="I55" i="6" l="1"/>
  <c r="P55" i="6"/>
  <c r="W55" i="6"/>
  <c r="V54" i="6"/>
  <c r="U54" i="6"/>
  <c r="O54" i="6"/>
  <c r="N54" i="6"/>
  <c r="H54" i="6"/>
  <c r="G54" i="6"/>
  <c r="W54" i="6" l="1"/>
  <c r="P54" i="6"/>
  <c r="I54" i="6"/>
  <c r="N21" i="9"/>
  <c r="Z21" i="9"/>
  <c r="Z18" i="9"/>
  <c r="N18" i="9"/>
  <c r="N5" i="9" l="1"/>
  <c r="Z5" i="9"/>
  <c r="Z12" i="9"/>
  <c r="N12" i="9"/>
  <c r="V53" i="6" l="1"/>
  <c r="U53" i="6"/>
  <c r="O53" i="6"/>
  <c r="N53" i="6"/>
  <c r="H53" i="6"/>
  <c r="G53" i="6"/>
  <c r="P53" i="6" l="1"/>
  <c r="I53" i="6"/>
  <c r="W53" i="6"/>
  <c r="Z20" i="9"/>
  <c r="Z25" i="9"/>
  <c r="Z23" i="9"/>
  <c r="Z17" i="9"/>
  <c r="Z16" i="9"/>
  <c r="Z14" i="9"/>
  <c r="Z4" i="9"/>
  <c r="N25" i="9"/>
  <c r="N23" i="9"/>
  <c r="N20" i="9"/>
  <c r="N17" i="9"/>
  <c r="N16" i="9"/>
  <c r="N14" i="9"/>
  <c r="N4" i="9"/>
  <c r="V52" i="6"/>
  <c r="U52" i="6"/>
  <c r="O52" i="6"/>
  <c r="N52" i="6"/>
  <c r="H52" i="6"/>
  <c r="G52" i="6"/>
  <c r="I52" i="6" l="1"/>
  <c r="W52" i="6"/>
  <c r="P52" i="6"/>
  <c r="V51" i="6"/>
  <c r="U51" i="6"/>
  <c r="O51" i="6"/>
  <c r="N51" i="6"/>
  <c r="H51" i="6"/>
  <c r="G51" i="6"/>
  <c r="I51" i="6" l="1"/>
  <c r="P51" i="6"/>
  <c r="W51" i="6"/>
  <c r="W9" i="11"/>
  <c r="Q9" i="11" l="1"/>
  <c r="O9" i="11"/>
  <c r="P9" i="11"/>
  <c r="V50" i="6"/>
  <c r="U50" i="6"/>
  <c r="O50" i="6"/>
  <c r="N50" i="6"/>
  <c r="H50" i="6"/>
  <c r="G50" i="6"/>
  <c r="I50" i="6" l="1"/>
  <c r="W50" i="6"/>
  <c r="P50" i="6"/>
  <c r="V49" i="6" l="1"/>
  <c r="U49" i="6"/>
  <c r="O49" i="6"/>
  <c r="N49" i="6"/>
  <c r="H49" i="6"/>
  <c r="G49" i="6"/>
  <c r="W49" i="6" l="1"/>
  <c r="I49" i="6"/>
  <c r="P49" i="6"/>
  <c r="N9" i="11"/>
  <c r="C9" i="5"/>
  <c r="V48" i="6"/>
  <c r="U48" i="6"/>
  <c r="O48" i="6"/>
  <c r="N48" i="6"/>
  <c r="H48" i="6"/>
  <c r="G48" i="6"/>
  <c r="W48" i="6" l="1"/>
  <c r="P48" i="6"/>
  <c r="I48" i="6"/>
  <c r="B10" i="8"/>
  <c r="V47" i="6" l="1"/>
  <c r="U47" i="6"/>
  <c r="O47" i="6"/>
  <c r="N47" i="6"/>
  <c r="H47" i="6"/>
  <c r="G47" i="6"/>
  <c r="I47" i="6" l="1"/>
  <c r="W47" i="6"/>
  <c r="P47" i="6"/>
  <c r="B1" i="15" l="1"/>
  <c r="L4" i="10" a="1"/>
  <c r="L4" i="10" s="1"/>
  <c r="G8" i="11" l="1"/>
  <c r="L8" i="11"/>
  <c r="F8" i="11"/>
  <c r="D57" i="15" l="1"/>
  <c r="C65" i="15" l="1"/>
  <c r="G46" i="6" l="1"/>
  <c r="H46" i="6"/>
  <c r="I46" i="6" s="1"/>
  <c r="N46" i="6"/>
  <c r="O46" i="6"/>
  <c r="P46" i="6" s="1"/>
  <c r="U46" i="6"/>
  <c r="V46" i="6"/>
  <c r="W46" i="6" s="1"/>
  <c r="L5" i="1" l="1"/>
  <c r="L14" i="1"/>
  <c r="AU19" i="16" l="1"/>
  <c r="AU20" i="16"/>
  <c r="AU7" i="16"/>
  <c r="AU8" i="16"/>
  <c r="AU9" i="16"/>
  <c r="AU10" i="16"/>
  <c r="AU11" i="16"/>
  <c r="AU12" i="16"/>
  <c r="AU13" i="16"/>
  <c r="AU14" i="16"/>
  <c r="AU15" i="16"/>
  <c r="AM19" i="16"/>
  <c r="AN19" i="16"/>
  <c r="AO19" i="16"/>
  <c r="AP19" i="16"/>
  <c r="AM20" i="16"/>
  <c r="AN20" i="16"/>
  <c r="AO20" i="16"/>
  <c r="AP20" i="16"/>
  <c r="AM7" i="16"/>
  <c r="AN7" i="16"/>
  <c r="AO7" i="16"/>
  <c r="AP7" i="16"/>
  <c r="AM8" i="16"/>
  <c r="AN8" i="16"/>
  <c r="AO8" i="16"/>
  <c r="AP8" i="16"/>
  <c r="AM9" i="16"/>
  <c r="AN9" i="16"/>
  <c r="AO9" i="16"/>
  <c r="AP9" i="16"/>
  <c r="AM10" i="16"/>
  <c r="AN10" i="16"/>
  <c r="AO10" i="16"/>
  <c r="AP10" i="16"/>
  <c r="AM11" i="16"/>
  <c r="AN11" i="16"/>
  <c r="AO11" i="16"/>
  <c r="AP11" i="16"/>
  <c r="AM12" i="16"/>
  <c r="AN12" i="16"/>
  <c r="AO12" i="16"/>
  <c r="AP12" i="16"/>
  <c r="AM13" i="16"/>
  <c r="AN13" i="16"/>
  <c r="AO13" i="16"/>
  <c r="AP13" i="16"/>
  <c r="AM14" i="16"/>
  <c r="AN14" i="16"/>
  <c r="AO14" i="16"/>
  <c r="AP14" i="16"/>
  <c r="AM15" i="16"/>
  <c r="AN15" i="16"/>
  <c r="AO15" i="16"/>
  <c r="AP15" i="16"/>
  <c r="AB19" i="16"/>
  <c r="AB20" i="16"/>
  <c r="AB7" i="16"/>
  <c r="AB8" i="16"/>
  <c r="AB9" i="16"/>
  <c r="AB10" i="16"/>
  <c r="AB11" i="16"/>
  <c r="AB12" i="16"/>
  <c r="AB13" i="16"/>
  <c r="AB14" i="16"/>
  <c r="AB15" i="16"/>
  <c r="AB6" i="16"/>
  <c r="AB18" i="16"/>
  <c r="AU6" i="16" l="1"/>
  <c r="AU18" i="16"/>
  <c r="AP6" i="16"/>
  <c r="AP18" i="16"/>
  <c r="AO18" i="16"/>
  <c r="AN18" i="16"/>
  <c r="AM18" i="16"/>
  <c r="AN6" i="16"/>
  <c r="AM6" i="16"/>
  <c r="AO6" i="16" l="1"/>
  <c r="Q4" i="7" l="1"/>
  <c r="D4" i="8" l="1"/>
  <c r="M19" i="10"/>
  <c r="K12" i="10" a="1"/>
  <c r="K12" i="10" s="1"/>
  <c r="B9" i="8" l="1"/>
  <c r="E4" i="8"/>
  <c r="X4" i="7" s="1"/>
  <c r="M9" i="11" l="1"/>
  <c r="B60" i="11"/>
  <c r="C60" i="11" s="1"/>
  <c r="G9" i="11"/>
  <c r="F9" i="11"/>
  <c r="K9" i="11"/>
  <c r="H9" i="11"/>
  <c r="L9" i="11"/>
  <c r="I9" i="11"/>
  <c r="R9" i="11"/>
  <c r="J9" i="11"/>
  <c r="H4" i="7"/>
  <c r="L18" i="10"/>
  <c r="L19" i="10"/>
  <c r="L20" i="10"/>
  <c r="L17" i="10"/>
  <c r="L16" i="10"/>
  <c r="G45" i="6"/>
  <c r="H45" i="6"/>
  <c r="I45" i="6" s="1"/>
  <c r="N45" i="6"/>
  <c r="O45" i="6"/>
  <c r="U45" i="6"/>
  <c r="V45" i="6"/>
  <c r="W45" i="6"/>
  <c r="E8" i="11" l="1"/>
  <c r="E51" i="11"/>
  <c r="E45" i="11"/>
  <c r="E39" i="11"/>
  <c r="E33" i="11"/>
  <c r="E27" i="11"/>
  <c r="E18" i="11"/>
  <c r="E17" i="11"/>
  <c r="E10" i="11"/>
  <c r="E7" i="11"/>
  <c r="E6" i="11"/>
  <c r="E5" i="11"/>
  <c r="L6" i="10"/>
  <c r="K19" i="10"/>
  <c r="P45" i="6"/>
  <c r="N17" i="10"/>
  <c r="N18" i="10"/>
  <c r="N19" i="10"/>
  <c r="N20" i="10"/>
  <c r="N16" i="10"/>
  <c r="M7" i="5" l="1"/>
  <c r="M6" i="5"/>
  <c r="L7" i="5"/>
  <c r="L6" i="5"/>
  <c r="K5" i="5"/>
  <c r="L67" i="10"/>
  <c r="M58" i="10"/>
  <c r="L58" i="10"/>
  <c r="M57" i="10"/>
  <c r="L57" i="10"/>
  <c r="M55" i="10"/>
  <c r="L55" i="10"/>
  <c r="M54" i="10"/>
  <c r="L54" i="10"/>
  <c r="M53" i="10"/>
  <c r="L53" i="10"/>
  <c r="M51" i="10"/>
  <c r="L51" i="10"/>
  <c r="L49" i="10"/>
  <c r="L48" i="10"/>
  <c r="L47" i="10"/>
  <c r="L46" i="10"/>
  <c r="L45" i="10"/>
  <c r="L44" i="10"/>
  <c r="M41" i="10"/>
  <c r="L41" i="10"/>
  <c r="M40" i="10"/>
  <c r="L40" i="10"/>
  <c r="M39" i="10"/>
  <c r="L39" i="10"/>
  <c r="M38" i="10"/>
  <c r="L38" i="10"/>
  <c r="M37" i="10"/>
  <c r="L37" i="10"/>
  <c r="L23" i="10"/>
  <c r="M23" i="10"/>
  <c r="L24" i="10"/>
  <c r="M24" i="10"/>
  <c r="L25" i="10"/>
  <c r="M25" i="10"/>
  <c r="L26" i="10"/>
  <c r="M26" i="10"/>
  <c r="L27" i="10"/>
  <c r="M27" i="10"/>
  <c r="L28" i="10"/>
  <c r="M28" i="10"/>
  <c r="L29" i="10"/>
  <c r="M29" i="10"/>
  <c r="L30" i="10"/>
  <c r="M30" i="10"/>
  <c r="L31" i="10"/>
  <c r="M31" i="10"/>
  <c r="L32" i="10"/>
  <c r="M32" i="10"/>
  <c r="L33" i="10"/>
  <c r="M33" i="10"/>
  <c r="L34" i="10"/>
  <c r="M34" i="10"/>
  <c r="L35" i="10"/>
  <c r="M35" i="10"/>
  <c r="M22" i="10"/>
  <c r="L22" i="10"/>
  <c r="M12" i="10"/>
  <c r="L4" i="1"/>
  <c r="AI19" i="16"/>
  <c r="AJ19" i="16"/>
  <c r="AK19" i="16"/>
  <c r="AL19" i="16"/>
  <c r="AI20" i="16"/>
  <c r="AJ20" i="16"/>
  <c r="AK20" i="16"/>
  <c r="AL20" i="16"/>
  <c r="AJ18" i="16"/>
  <c r="AK18" i="16"/>
  <c r="AL18" i="16"/>
  <c r="AI18" i="16"/>
  <c r="AT18" i="16"/>
  <c r="AQ19" i="16"/>
  <c r="AR19" i="16"/>
  <c r="AS19" i="16"/>
  <c r="AT19" i="16"/>
  <c r="AQ20" i="16"/>
  <c r="AR20" i="16"/>
  <c r="AS20" i="16"/>
  <c r="AT20" i="16"/>
  <c r="AR18" i="16"/>
  <c r="AS18" i="16"/>
  <c r="AQ6" i="16"/>
  <c r="AE19" i="16"/>
  <c r="AG19" i="16" s="1"/>
  <c r="AE20" i="16"/>
  <c r="AH20" i="16" s="1"/>
  <c r="AR6" i="16"/>
  <c r="AQ7" i="16"/>
  <c r="AR7" i="16"/>
  <c r="AS7" i="16"/>
  <c r="AT7" i="16"/>
  <c r="AQ8" i="16"/>
  <c r="AR8" i="16"/>
  <c r="AS8" i="16"/>
  <c r="AT8" i="16"/>
  <c r="AQ9" i="16"/>
  <c r="AR9" i="16"/>
  <c r="AS9" i="16"/>
  <c r="AT9" i="16"/>
  <c r="AQ10" i="16"/>
  <c r="AR10" i="16"/>
  <c r="AS10" i="16"/>
  <c r="AT10" i="16"/>
  <c r="AQ11" i="16"/>
  <c r="AR11" i="16"/>
  <c r="AS11" i="16"/>
  <c r="AT11" i="16"/>
  <c r="AQ12" i="16"/>
  <c r="AR12" i="16"/>
  <c r="AS12" i="16"/>
  <c r="AT12" i="16"/>
  <c r="AQ13" i="16"/>
  <c r="AR13" i="16"/>
  <c r="AS13" i="16"/>
  <c r="AT13" i="16"/>
  <c r="AQ14" i="16"/>
  <c r="AR14" i="16"/>
  <c r="AS14" i="16"/>
  <c r="AT14" i="16"/>
  <c r="AQ15" i="16"/>
  <c r="AR15" i="16"/>
  <c r="AS15" i="16"/>
  <c r="AT15" i="16"/>
  <c r="AT6" i="16"/>
  <c r="AH7" i="16"/>
  <c r="AH8" i="16"/>
  <c r="AH9" i="16"/>
  <c r="AH10" i="16"/>
  <c r="AH11" i="16"/>
  <c r="AH12" i="16"/>
  <c r="AH13" i="16"/>
  <c r="AH14" i="16"/>
  <c r="AH15" i="16"/>
  <c r="AG7" i="16"/>
  <c r="AG8" i="16"/>
  <c r="AG9" i="16"/>
  <c r="AG10" i="16"/>
  <c r="AG11" i="16"/>
  <c r="AG12" i="16"/>
  <c r="AG13" i="16"/>
  <c r="AG14" i="16"/>
  <c r="AG15" i="16"/>
  <c r="AG6" i="16"/>
  <c r="AF7" i="16"/>
  <c r="AF8" i="16"/>
  <c r="AF9" i="16"/>
  <c r="AF10" i="16"/>
  <c r="AF11" i="16"/>
  <c r="AF12" i="16"/>
  <c r="AF13" i="16"/>
  <c r="AF14" i="16"/>
  <c r="AF15" i="16"/>
  <c r="AE7" i="16"/>
  <c r="AE8" i="16"/>
  <c r="AE9" i="16"/>
  <c r="AE10" i="16"/>
  <c r="AE11" i="16"/>
  <c r="AE12" i="16"/>
  <c r="AE13" i="16"/>
  <c r="AE14" i="16"/>
  <c r="AE15" i="16"/>
  <c r="AE6" i="16"/>
  <c r="AC7" i="16"/>
  <c r="AD7" i="16" s="1"/>
  <c r="AC8" i="16"/>
  <c r="AD8" i="16" s="1"/>
  <c r="AC9" i="16"/>
  <c r="AD9" i="16" s="1"/>
  <c r="AC10" i="16"/>
  <c r="AD10" i="16" s="1"/>
  <c r="AC11" i="16"/>
  <c r="AD11" i="16" s="1"/>
  <c r="AC12" i="16"/>
  <c r="AD12" i="16" s="1"/>
  <c r="AC13" i="16"/>
  <c r="AD13" i="16" s="1"/>
  <c r="AC14" i="16"/>
  <c r="AD14" i="16" s="1"/>
  <c r="AC15" i="16"/>
  <c r="AD15" i="16" s="1"/>
  <c r="E71" i="10" l="1"/>
  <c r="D71" i="10"/>
  <c r="AG20" i="16"/>
  <c r="AQ18" i="16"/>
  <c r="AE18" i="16"/>
  <c r="AG18" i="16" s="1"/>
  <c r="AF19" i="16"/>
  <c r="AH19" i="16"/>
  <c r="AF20" i="16"/>
  <c r="AC6" i="16"/>
  <c r="AD6" i="16" s="1"/>
  <c r="AF6" i="16"/>
  <c r="AH6" i="16"/>
  <c r="AS6" i="16"/>
  <c r="AF18" i="16" l="1"/>
  <c r="AH18" i="16"/>
  <c r="W65" i="7"/>
  <c r="W64" i="7"/>
  <c r="W62" i="7"/>
  <c r="W61" i="7"/>
  <c r="W60" i="7"/>
  <c r="W59" i="7"/>
  <c r="W56" i="7"/>
  <c r="W57" i="7"/>
  <c r="W55" i="7"/>
  <c r="T56" i="7" a="1"/>
  <c r="T56" i="7" s="1"/>
  <c r="T57" i="7" a="1"/>
  <c r="T57" i="7" s="1"/>
  <c r="T55" i="7" a="1"/>
  <c r="T55" i="7" s="1"/>
  <c r="Q5" i="7" a="1"/>
  <c r="Q5" i="7" s="1"/>
  <c r="AB59" i="16" l="1"/>
  <c r="B59" i="16" s="1"/>
  <c r="F42" i="14" l="1"/>
  <c r="L30" i="1"/>
  <c r="L31" i="1"/>
  <c r="L29" i="1"/>
  <c r="L44" i="1" l="1"/>
  <c r="L64" i="10" l="1"/>
  <c r="M16" i="10"/>
  <c r="K16" i="10" s="1"/>
  <c r="M17" i="10"/>
  <c r="K17" i="10" s="1"/>
  <c r="M18" i="10"/>
  <c r="K18" i="10" s="1"/>
  <c r="M20" i="10"/>
  <c r="K20" i="10" s="1"/>
  <c r="M15" i="10"/>
  <c r="K15" i="10" s="1"/>
  <c r="L5" i="10" a="1"/>
  <c r="L5" i="10" s="1"/>
  <c r="P10" i="5" l="1"/>
  <c r="Q4" i="5" l="1"/>
  <c r="N7" i="5" l="1" a="1"/>
  <c r="N7" i="5" s="1"/>
  <c r="N6" i="5" a="1"/>
  <c r="N6" i="5" s="1"/>
  <c r="O7" i="5" a="1"/>
  <c r="O7" i="5" s="1"/>
  <c r="O6" i="5" a="1"/>
  <c r="O6" i="5" s="1"/>
  <c r="D66" i="15"/>
  <c r="D5" i="15"/>
  <c r="D4" i="15"/>
  <c r="E70" i="10"/>
  <c r="E69" i="15" s="1"/>
  <c r="AE1" i="11"/>
  <c r="O59" i="10" s="1"/>
  <c r="I59" i="10" l="1"/>
  <c r="I56" i="10"/>
  <c r="I71" i="10"/>
  <c r="I52" i="10"/>
  <c r="B61" i="11"/>
  <c r="C61" i="11" s="1"/>
  <c r="B62" i="11"/>
  <c r="C62" i="11" s="1"/>
  <c r="D70" i="10"/>
  <c r="D69" i="15" s="1"/>
  <c r="D70" i="15"/>
  <c r="D64" i="10"/>
  <c r="D63" i="15" s="1"/>
  <c r="B64" i="11"/>
  <c r="C64" i="11" s="1"/>
  <c r="B63" i="11"/>
  <c r="C63" i="11" s="1"/>
  <c r="C5" i="14"/>
  <c r="C4" i="14"/>
  <c r="C3" i="14"/>
  <c r="E75" i="10" l="1" a="1"/>
  <c r="E75" i="10" s="1"/>
  <c r="E74" i="15" s="1"/>
  <c r="E70" i="15"/>
  <c r="D44" i="1" l="1"/>
  <c r="L58" i="1"/>
  <c r="B58" i="1" s="1"/>
  <c r="L65" i="10"/>
  <c r="D77" i="10" s="1"/>
  <c r="D41" i="14" l="1"/>
  <c r="F41" i="14"/>
  <c r="B15" i="15" l="1"/>
  <c r="B61" i="1" l="1"/>
  <c r="B60" i="1"/>
  <c r="B62" i="16"/>
  <c r="B61" i="16"/>
  <c r="B88" i="10"/>
  <c r="B87" i="10"/>
  <c r="B32" i="5"/>
  <c r="B31" i="5"/>
  <c r="B79" i="7"/>
  <c r="B78" i="7"/>
  <c r="B56" i="14"/>
  <c r="B55" i="14"/>
  <c r="B59" i="18"/>
  <c r="B58" i="18"/>
  <c r="B84" i="15"/>
  <c r="B83" i="15"/>
  <c r="B1" i="18" l="1"/>
  <c r="Y1" i="18"/>
  <c r="Y2" i="18"/>
  <c r="B6" i="18"/>
  <c r="C6" i="18"/>
  <c r="D6" i="18"/>
  <c r="E6" i="18"/>
  <c r="F6" i="18"/>
  <c r="G6" i="18"/>
  <c r="H6" i="18"/>
  <c r="I6" i="18"/>
  <c r="N6" i="18"/>
  <c r="O6" i="18"/>
  <c r="P6" i="18"/>
  <c r="Q6" i="18"/>
  <c r="R6" i="18"/>
  <c r="S6" i="18"/>
  <c r="T6" i="18"/>
  <c r="U6" i="18"/>
  <c r="V6" i="18"/>
  <c r="B7" i="18"/>
  <c r="C7" i="18"/>
  <c r="D7" i="18"/>
  <c r="E7" i="18"/>
  <c r="F7" i="18"/>
  <c r="G7" i="18"/>
  <c r="H7" i="18"/>
  <c r="I7" i="18"/>
  <c r="N7" i="18"/>
  <c r="O7" i="18"/>
  <c r="P7" i="18"/>
  <c r="Q7" i="18"/>
  <c r="R7" i="18"/>
  <c r="S7" i="18"/>
  <c r="T7" i="18"/>
  <c r="U7" i="18"/>
  <c r="V7" i="18"/>
  <c r="B8" i="18"/>
  <c r="C8" i="18"/>
  <c r="D8" i="18"/>
  <c r="E8" i="18"/>
  <c r="F8" i="18"/>
  <c r="G8" i="18"/>
  <c r="H8" i="18"/>
  <c r="I8" i="18"/>
  <c r="N8" i="18"/>
  <c r="O8" i="18"/>
  <c r="P8" i="18"/>
  <c r="Q8" i="18"/>
  <c r="R8" i="18"/>
  <c r="S8" i="18"/>
  <c r="T8" i="18"/>
  <c r="U8" i="18"/>
  <c r="V8" i="18"/>
  <c r="B9" i="18"/>
  <c r="C9" i="18"/>
  <c r="D9" i="18"/>
  <c r="E9" i="18"/>
  <c r="F9" i="18"/>
  <c r="G9" i="18"/>
  <c r="H9" i="18"/>
  <c r="I9" i="18"/>
  <c r="N9" i="18"/>
  <c r="O9" i="18"/>
  <c r="P9" i="18"/>
  <c r="Q9" i="18"/>
  <c r="R9" i="18"/>
  <c r="S9" i="18"/>
  <c r="T9" i="18"/>
  <c r="U9" i="18"/>
  <c r="V9" i="18"/>
  <c r="B10" i="18"/>
  <c r="C10" i="18"/>
  <c r="D10" i="18"/>
  <c r="E10" i="18"/>
  <c r="F10" i="18"/>
  <c r="G10" i="18"/>
  <c r="H10" i="18"/>
  <c r="I10" i="18"/>
  <c r="N10" i="18"/>
  <c r="O10" i="18"/>
  <c r="P10" i="18"/>
  <c r="Q10" i="18"/>
  <c r="R10" i="18"/>
  <c r="S10" i="18"/>
  <c r="T10" i="18"/>
  <c r="U10" i="18"/>
  <c r="V10" i="18"/>
  <c r="B11" i="18"/>
  <c r="C11" i="18"/>
  <c r="D11" i="18"/>
  <c r="E11" i="18"/>
  <c r="F11" i="18"/>
  <c r="G11" i="18"/>
  <c r="H11" i="18"/>
  <c r="I11" i="18"/>
  <c r="N11" i="18"/>
  <c r="O11" i="18"/>
  <c r="P11" i="18"/>
  <c r="Q11" i="18"/>
  <c r="R11" i="18"/>
  <c r="S11" i="18"/>
  <c r="T11" i="18"/>
  <c r="U11" i="18"/>
  <c r="V11" i="18"/>
  <c r="B12" i="18"/>
  <c r="C12" i="18"/>
  <c r="D12" i="18"/>
  <c r="E12" i="18"/>
  <c r="F12" i="18"/>
  <c r="G12" i="18"/>
  <c r="H12" i="18"/>
  <c r="I12" i="18"/>
  <c r="N12" i="18"/>
  <c r="O12" i="18"/>
  <c r="P12" i="18"/>
  <c r="Q12" i="18"/>
  <c r="R12" i="18"/>
  <c r="S12" i="18"/>
  <c r="T12" i="18"/>
  <c r="U12" i="18"/>
  <c r="V12" i="18"/>
  <c r="B13" i="18"/>
  <c r="C13" i="18"/>
  <c r="D13" i="18"/>
  <c r="E13" i="18"/>
  <c r="F13" i="18"/>
  <c r="G13" i="18"/>
  <c r="H13" i="18"/>
  <c r="I13" i="18"/>
  <c r="N13" i="18"/>
  <c r="O13" i="18"/>
  <c r="P13" i="18"/>
  <c r="Q13" i="18"/>
  <c r="R13" i="18"/>
  <c r="S13" i="18"/>
  <c r="T13" i="18"/>
  <c r="U13" i="18"/>
  <c r="V13" i="18"/>
  <c r="B14" i="18"/>
  <c r="C14" i="18"/>
  <c r="D14" i="18"/>
  <c r="E14" i="18"/>
  <c r="F14" i="18"/>
  <c r="G14" i="18"/>
  <c r="H14" i="18"/>
  <c r="I14" i="18"/>
  <c r="N14" i="18"/>
  <c r="O14" i="18"/>
  <c r="P14" i="18"/>
  <c r="Q14" i="18"/>
  <c r="R14" i="18"/>
  <c r="S14" i="18"/>
  <c r="T14" i="18"/>
  <c r="U14" i="18"/>
  <c r="V14" i="18"/>
  <c r="B15" i="18"/>
  <c r="C15" i="18"/>
  <c r="D15" i="18"/>
  <c r="E15" i="18"/>
  <c r="F15" i="18"/>
  <c r="G15" i="18"/>
  <c r="H15" i="18"/>
  <c r="I15" i="18"/>
  <c r="N15" i="18"/>
  <c r="O15" i="18"/>
  <c r="P15" i="18"/>
  <c r="Q15" i="18"/>
  <c r="R15" i="18"/>
  <c r="S15" i="18"/>
  <c r="T15" i="18"/>
  <c r="U15" i="18"/>
  <c r="V15" i="18"/>
  <c r="B18" i="18"/>
  <c r="C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B19" i="18"/>
  <c r="C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B20" i="18"/>
  <c r="C20" i="18"/>
  <c r="F20" i="18"/>
  <c r="G20" i="18"/>
  <c r="H20" i="18"/>
  <c r="I20" i="18"/>
  <c r="J20" i="18"/>
  <c r="K20" i="18"/>
  <c r="L20" i="18"/>
  <c r="M20" i="18"/>
  <c r="N20" i="18"/>
  <c r="O20" i="18"/>
  <c r="P20" i="18"/>
  <c r="Q20" i="18"/>
  <c r="R20" i="18"/>
  <c r="S20" i="18"/>
  <c r="T20" i="18"/>
  <c r="U20" i="18"/>
  <c r="V20" i="18"/>
  <c r="F24" i="18"/>
  <c r="G24" i="18"/>
  <c r="H24" i="18"/>
  <c r="I24" i="18"/>
  <c r="J24" i="18"/>
  <c r="K24" i="18"/>
  <c r="L24" i="18"/>
  <c r="M24" i="18"/>
  <c r="N24" i="18"/>
  <c r="O24" i="18"/>
  <c r="P24" i="18"/>
  <c r="Q24" i="18"/>
  <c r="R24" i="18"/>
  <c r="S24" i="18"/>
  <c r="T24" i="18"/>
  <c r="U24" i="18"/>
  <c r="V24" i="18"/>
  <c r="E25" i="18"/>
  <c r="F25" i="18"/>
  <c r="G25" i="18"/>
  <c r="H25" i="18"/>
  <c r="I25" i="18"/>
  <c r="J25" i="18"/>
  <c r="K25" i="18"/>
  <c r="L25" i="18"/>
  <c r="M25" i="18"/>
  <c r="N25" i="18"/>
  <c r="O25" i="18"/>
  <c r="P25" i="18"/>
  <c r="Q25" i="18"/>
  <c r="R25" i="18"/>
  <c r="S25" i="18"/>
  <c r="T25" i="18"/>
  <c r="U25" i="18"/>
  <c r="V25" i="18"/>
  <c r="E26" i="18"/>
  <c r="F26" i="18"/>
  <c r="G26" i="18"/>
  <c r="H26" i="18"/>
  <c r="I26" i="18"/>
  <c r="J26" i="18"/>
  <c r="K26" i="18"/>
  <c r="L26" i="18"/>
  <c r="M26" i="18"/>
  <c r="N26" i="18"/>
  <c r="O26" i="18"/>
  <c r="P26" i="18"/>
  <c r="Q26" i="18"/>
  <c r="R26" i="18"/>
  <c r="S26" i="18"/>
  <c r="T26" i="18"/>
  <c r="U26" i="18"/>
  <c r="V26" i="18"/>
  <c r="B61" i="18"/>
  <c r="B62" i="18"/>
  <c r="B64" i="18"/>
  <c r="D3" i="15"/>
  <c r="H3" i="15"/>
  <c r="H4" i="15"/>
  <c r="C8" i="15"/>
  <c r="H8" i="15"/>
  <c r="C11" i="15"/>
  <c r="D11" i="15"/>
  <c r="E11" i="15"/>
  <c r="H11" i="15"/>
  <c r="H12" i="15"/>
  <c r="C14" i="15"/>
  <c r="E14" i="15"/>
  <c r="H14" i="15"/>
  <c r="C15" i="15"/>
  <c r="D15" i="15"/>
  <c r="E15" i="15"/>
  <c r="F15" i="15"/>
  <c r="H15" i="15"/>
  <c r="B16" i="15"/>
  <c r="C16" i="15"/>
  <c r="D16" i="15"/>
  <c r="E16" i="15"/>
  <c r="F16" i="15"/>
  <c r="H16" i="15"/>
  <c r="B17" i="15"/>
  <c r="C17" i="15"/>
  <c r="D17" i="15"/>
  <c r="E17" i="15"/>
  <c r="F17" i="15"/>
  <c r="H17" i="15"/>
  <c r="B18" i="15"/>
  <c r="C18" i="15"/>
  <c r="D18" i="15"/>
  <c r="E18" i="15"/>
  <c r="F18" i="15"/>
  <c r="H18" i="15"/>
  <c r="B19" i="15"/>
  <c r="C19" i="15"/>
  <c r="D19" i="15"/>
  <c r="E19" i="15"/>
  <c r="F19" i="15"/>
  <c r="H19" i="15"/>
  <c r="D21" i="15"/>
  <c r="E21" i="15"/>
  <c r="H21" i="15"/>
  <c r="D22" i="15"/>
  <c r="E22" i="15"/>
  <c r="H22" i="15"/>
  <c r="D23" i="15"/>
  <c r="E23" i="15"/>
  <c r="H23" i="15"/>
  <c r="D24" i="15"/>
  <c r="E24" i="15"/>
  <c r="H24" i="15"/>
  <c r="D25" i="15"/>
  <c r="E25" i="15"/>
  <c r="H25" i="15"/>
  <c r="D26" i="15"/>
  <c r="E26" i="15"/>
  <c r="H26" i="15"/>
  <c r="D27" i="15"/>
  <c r="E27" i="15"/>
  <c r="H27" i="15"/>
  <c r="D28" i="15"/>
  <c r="E28" i="15"/>
  <c r="H28" i="15"/>
  <c r="D29" i="15"/>
  <c r="E29" i="15"/>
  <c r="H29" i="15"/>
  <c r="D30" i="15"/>
  <c r="E30" i="15"/>
  <c r="H30" i="15"/>
  <c r="D31" i="15"/>
  <c r="E31" i="15"/>
  <c r="H31" i="15"/>
  <c r="D32" i="15"/>
  <c r="E32" i="15"/>
  <c r="H32" i="15"/>
  <c r="B33" i="15"/>
  <c r="D33" i="15"/>
  <c r="E33" i="15"/>
  <c r="H33" i="15"/>
  <c r="B34" i="15"/>
  <c r="D34" i="15"/>
  <c r="E34" i="15"/>
  <c r="H34" i="15"/>
  <c r="D36" i="15"/>
  <c r="E36" i="15"/>
  <c r="H36" i="15"/>
  <c r="D37" i="15"/>
  <c r="E37" i="15"/>
  <c r="H37" i="15"/>
  <c r="D38" i="15"/>
  <c r="E38" i="15"/>
  <c r="H38" i="15"/>
  <c r="D39" i="15"/>
  <c r="E39" i="15"/>
  <c r="H39" i="15"/>
  <c r="D40" i="15"/>
  <c r="E40" i="15"/>
  <c r="H40" i="15"/>
  <c r="D43" i="15"/>
  <c r="H43" i="15"/>
  <c r="D44" i="15"/>
  <c r="H44" i="15"/>
  <c r="D45" i="15"/>
  <c r="H45" i="15"/>
  <c r="D46" i="15"/>
  <c r="H46" i="15"/>
  <c r="D47" i="15"/>
  <c r="H47" i="15"/>
  <c r="D48" i="15"/>
  <c r="H48" i="15"/>
  <c r="D50" i="15"/>
  <c r="E50" i="15"/>
  <c r="H50" i="15"/>
  <c r="B52" i="15"/>
  <c r="D52" i="15"/>
  <c r="E52" i="15"/>
  <c r="H52" i="15"/>
  <c r="B53" i="15"/>
  <c r="D53" i="15"/>
  <c r="E53" i="15"/>
  <c r="H53" i="15"/>
  <c r="B54" i="15"/>
  <c r="D54" i="15"/>
  <c r="E54" i="15"/>
  <c r="H54" i="15"/>
  <c r="B56" i="15"/>
  <c r="D56" i="15"/>
  <c r="E56" i="15"/>
  <c r="H56" i="15"/>
  <c r="B57" i="15"/>
  <c r="E57" i="15"/>
  <c r="H57" i="15"/>
  <c r="H66" i="15"/>
  <c r="B74" i="15"/>
  <c r="B86" i="15"/>
  <c r="B87" i="15"/>
  <c r="B88" i="15"/>
  <c r="B89" i="15"/>
  <c r="B90" i="15"/>
  <c r="B91" i="15"/>
  <c r="B92" i="15"/>
  <c r="B93" i="15"/>
  <c r="B94" i="15"/>
  <c r="B96" i="15"/>
  <c r="B1" i="14"/>
  <c r="I3" i="14"/>
  <c r="J4" i="14"/>
  <c r="B12" i="14"/>
  <c r="D12" i="14"/>
  <c r="F12" i="14"/>
  <c r="D14" i="14"/>
  <c r="F14" i="14"/>
  <c r="D15" i="14"/>
  <c r="F15" i="14"/>
  <c r="D16" i="14"/>
  <c r="F16" i="14"/>
  <c r="D17" i="14"/>
  <c r="F17" i="14"/>
  <c r="D18" i="14"/>
  <c r="F18" i="14"/>
  <c r="D19" i="14"/>
  <c r="F19" i="14"/>
  <c r="B27" i="14"/>
  <c r="D27" i="14"/>
  <c r="F27" i="14"/>
  <c r="B28" i="14"/>
  <c r="D28" i="14"/>
  <c r="F28" i="14"/>
  <c r="B29" i="14"/>
  <c r="D29" i="14"/>
  <c r="F29" i="14"/>
  <c r="D31" i="14"/>
  <c r="F31" i="14"/>
  <c r="D32" i="14"/>
  <c r="F32" i="14"/>
  <c r="D33" i="14"/>
  <c r="F33" i="14"/>
  <c r="D34" i="14"/>
  <c r="F34" i="14"/>
  <c r="D35" i="14"/>
  <c r="F35" i="14"/>
  <c r="D36" i="14"/>
  <c r="F36" i="14"/>
  <c r="F37" i="14"/>
  <c r="F38" i="14"/>
  <c r="D39" i="14"/>
  <c r="F39" i="14"/>
  <c r="D40" i="14"/>
  <c r="F40" i="14"/>
  <c r="B58" i="14"/>
  <c r="B59" i="14"/>
  <c r="B60" i="14"/>
  <c r="B62" i="14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6" i="7"/>
  <c r="Z37" i="7"/>
  <c r="Z38" i="7"/>
  <c r="Z40" i="7"/>
  <c r="Z41" i="7"/>
  <c r="Z73" i="7"/>
  <c r="G2" i="9"/>
  <c r="O3" i="9"/>
  <c r="P3" i="9"/>
  <c r="Q3" i="9"/>
  <c r="R3" i="9"/>
  <c r="S3" i="9"/>
  <c r="T3" i="9"/>
  <c r="U3" i="9"/>
  <c r="V3" i="9"/>
  <c r="W3" i="9"/>
  <c r="X3" i="9"/>
  <c r="Y3" i="9"/>
  <c r="AA3" i="9"/>
  <c r="AB3" i="9"/>
  <c r="AC3" i="9"/>
  <c r="AD3" i="9"/>
  <c r="AE3" i="9"/>
  <c r="AF3" i="9"/>
  <c r="AG3" i="9"/>
  <c r="AH3" i="9"/>
  <c r="AI3" i="9"/>
  <c r="AJ3" i="9"/>
  <c r="AK3" i="9"/>
  <c r="O4" i="9"/>
  <c r="AB4" i="9"/>
  <c r="O7" i="9"/>
  <c r="P7" i="9"/>
  <c r="Q7" i="9"/>
  <c r="R7" i="9"/>
  <c r="S7" i="9"/>
  <c r="T7" i="9"/>
  <c r="U7" i="9"/>
  <c r="V7" i="9"/>
  <c r="W7" i="9"/>
  <c r="X7" i="9"/>
  <c r="Y7" i="9"/>
  <c r="AA7" i="9"/>
  <c r="AB7" i="9"/>
  <c r="AC7" i="9"/>
  <c r="AD7" i="9"/>
  <c r="AE7" i="9"/>
  <c r="AF7" i="9"/>
  <c r="AG7" i="9"/>
  <c r="AH7" i="9"/>
  <c r="AI7" i="9"/>
  <c r="AJ7" i="9"/>
  <c r="AK7" i="9"/>
  <c r="O8" i="9"/>
  <c r="P8" i="9"/>
  <c r="Q8" i="9"/>
  <c r="R8" i="9"/>
  <c r="S8" i="9"/>
  <c r="T8" i="9"/>
  <c r="U8" i="9"/>
  <c r="V8" i="9"/>
  <c r="W8" i="9"/>
  <c r="X8" i="9"/>
  <c r="Y8" i="9"/>
  <c r="AA8" i="9"/>
  <c r="AB8" i="9"/>
  <c r="AC8" i="9"/>
  <c r="AD8" i="9"/>
  <c r="AE8" i="9"/>
  <c r="AF8" i="9"/>
  <c r="AG8" i="9"/>
  <c r="AH8" i="9"/>
  <c r="AI8" i="9"/>
  <c r="AJ8" i="9"/>
  <c r="AK8" i="9"/>
  <c r="O9" i="9"/>
  <c r="P9" i="9"/>
  <c r="Q9" i="9"/>
  <c r="R9" i="9"/>
  <c r="S9" i="9"/>
  <c r="T9" i="9"/>
  <c r="U9" i="9"/>
  <c r="V9" i="9"/>
  <c r="W9" i="9"/>
  <c r="X9" i="9"/>
  <c r="Y9" i="9"/>
  <c r="AA9" i="9"/>
  <c r="AB9" i="9"/>
  <c r="AC9" i="9"/>
  <c r="AD9" i="9"/>
  <c r="AE9" i="9"/>
  <c r="AF9" i="9"/>
  <c r="AG9" i="9"/>
  <c r="AH9" i="9"/>
  <c r="AI9" i="9"/>
  <c r="AJ9" i="9"/>
  <c r="AK9" i="9"/>
  <c r="O13" i="9"/>
  <c r="P13" i="9"/>
  <c r="Q13" i="9"/>
  <c r="R13" i="9"/>
  <c r="S13" i="9"/>
  <c r="T13" i="9"/>
  <c r="U13" i="9"/>
  <c r="V13" i="9"/>
  <c r="W13" i="9"/>
  <c r="X13" i="9"/>
  <c r="Y13" i="9"/>
  <c r="AA13" i="9"/>
  <c r="AB13" i="9"/>
  <c r="AC13" i="9"/>
  <c r="AD13" i="9"/>
  <c r="AE13" i="9"/>
  <c r="AF13" i="9"/>
  <c r="AG13" i="9"/>
  <c r="AH13" i="9"/>
  <c r="AI13" i="9"/>
  <c r="AJ13" i="9"/>
  <c r="AK13" i="9"/>
  <c r="P14" i="9"/>
  <c r="AB14" i="9"/>
  <c r="R16" i="9"/>
  <c r="P17" i="9"/>
  <c r="AH17" i="9"/>
  <c r="O19" i="9"/>
  <c r="P19" i="9"/>
  <c r="Q19" i="9"/>
  <c r="R19" i="9"/>
  <c r="S19" i="9"/>
  <c r="T19" i="9"/>
  <c r="U19" i="9"/>
  <c r="V19" i="9"/>
  <c r="W19" i="9"/>
  <c r="X19" i="9"/>
  <c r="Y19" i="9"/>
  <c r="AA19" i="9"/>
  <c r="AB19" i="9"/>
  <c r="AC19" i="9"/>
  <c r="AD19" i="9"/>
  <c r="AE19" i="9"/>
  <c r="AF19" i="9"/>
  <c r="AG19" i="9"/>
  <c r="AH19" i="9"/>
  <c r="AI19" i="9"/>
  <c r="AJ19" i="9"/>
  <c r="AK19" i="9"/>
  <c r="P23" i="9"/>
  <c r="Q24" i="9"/>
  <c r="AC24" i="9"/>
  <c r="P25" i="9"/>
  <c r="AB25" i="9"/>
  <c r="O26" i="9"/>
  <c r="AA26" i="9"/>
  <c r="O27" i="9"/>
  <c r="P27" i="9"/>
  <c r="Q27" i="9"/>
  <c r="R27" i="9"/>
  <c r="S27" i="9"/>
  <c r="T27" i="9"/>
  <c r="U27" i="9"/>
  <c r="V27" i="9"/>
  <c r="W27" i="9"/>
  <c r="X27" i="9"/>
  <c r="Y27" i="9"/>
  <c r="AA27" i="9"/>
  <c r="AB27" i="9"/>
  <c r="AC27" i="9"/>
  <c r="AD27" i="9"/>
  <c r="AE27" i="9"/>
  <c r="AF27" i="9"/>
  <c r="AG27" i="9"/>
  <c r="AH27" i="9"/>
  <c r="AI27" i="9"/>
  <c r="AJ27" i="9"/>
  <c r="AK27" i="9"/>
  <c r="O28" i="9"/>
  <c r="P28" i="9"/>
  <c r="Q28" i="9"/>
  <c r="R28" i="9"/>
  <c r="S28" i="9"/>
  <c r="T28" i="9"/>
  <c r="U28" i="9"/>
  <c r="V28" i="9"/>
  <c r="W28" i="9"/>
  <c r="X28" i="9"/>
  <c r="Y28" i="9"/>
  <c r="AA28" i="9"/>
  <c r="AB28" i="9"/>
  <c r="AC28" i="9"/>
  <c r="AD28" i="9"/>
  <c r="AE28" i="9"/>
  <c r="AF28" i="9"/>
  <c r="AG28" i="9"/>
  <c r="AH28" i="9"/>
  <c r="AI28" i="9"/>
  <c r="AJ28" i="9"/>
  <c r="AK28" i="9"/>
  <c r="O29" i="9"/>
  <c r="P29" i="9"/>
  <c r="Q29" i="9"/>
  <c r="R29" i="9"/>
  <c r="S29" i="9"/>
  <c r="T29" i="9"/>
  <c r="U29" i="9"/>
  <c r="V29" i="9"/>
  <c r="W29" i="9"/>
  <c r="X29" i="9"/>
  <c r="Y29" i="9"/>
  <c r="AA29" i="9"/>
  <c r="AB29" i="9"/>
  <c r="AC29" i="9"/>
  <c r="AD29" i="9"/>
  <c r="AE29" i="9"/>
  <c r="AF29" i="9"/>
  <c r="AG29" i="9"/>
  <c r="AH29" i="9"/>
  <c r="AI29" i="9"/>
  <c r="AJ29" i="9"/>
  <c r="AK29" i="9"/>
  <c r="B16" i="8"/>
  <c r="C16" i="8" s="1"/>
  <c r="D16" i="8" s="1"/>
  <c r="E16" i="8" s="1"/>
  <c r="C10" i="8"/>
  <c r="X10" i="7" s="1"/>
  <c r="J55" i="8"/>
  <c r="P55" i="8"/>
  <c r="Q55" i="8" s="1"/>
  <c r="R55" i="8" s="1"/>
  <c r="J56" i="8"/>
  <c r="P56" i="8"/>
  <c r="Q56" i="8" s="1"/>
  <c r="R56" i="8" s="1"/>
  <c r="J57" i="8"/>
  <c r="P57" i="8"/>
  <c r="Q57" i="8" s="1"/>
  <c r="R57" i="8" s="1"/>
  <c r="J59" i="8"/>
  <c r="P59" i="8"/>
  <c r="Q59" i="8" s="1"/>
  <c r="R59" i="8" s="1"/>
  <c r="J60" i="8"/>
  <c r="P60" i="8"/>
  <c r="Q60" i="8" s="1"/>
  <c r="R60" i="8" s="1"/>
  <c r="J61" i="8"/>
  <c r="P61" i="8"/>
  <c r="Q61" i="8" s="1"/>
  <c r="R61" i="8" s="1"/>
  <c r="J62" i="8"/>
  <c r="P62" i="8"/>
  <c r="Q62" i="8" s="1"/>
  <c r="R62" i="8" s="1"/>
  <c r="J64" i="8"/>
  <c r="P64" i="8"/>
  <c r="Q64" i="8" s="1"/>
  <c r="R64" i="8" s="1"/>
  <c r="J65" i="8"/>
  <c r="P65" i="8"/>
  <c r="Q65" i="8" s="1"/>
  <c r="R65" i="8" s="1"/>
  <c r="A4" i="17"/>
  <c r="B4" i="17"/>
  <c r="C4" i="17" s="1"/>
  <c r="E4" i="17"/>
  <c r="F4" i="17"/>
  <c r="G4" i="17"/>
  <c r="H4" i="17"/>
  <c r="I4" i="17"/>
  <c r="J4" i="17"/>
  <c r="K4" i="17"/>
  <c r="L4" i="17"/>
  <c r="M4" i="17"/>
  <c r="N4" i="17"/>
  <c r="O4" i="17"/>
  <c r="P4" i="17"/>
  <c r="Q4" i="17"/>
  <c r="R4" i="17"/>
  <c r="S4" i="17"/>
  <c r="A5" i="17"/>
  <c r="B5" i="17"/>
  <c r="C5" i="17" s="1"/>
  <c r="E5" i="17"/>
  <c r="F5" i="17"/>
  <c r="G5" i="17"/>
  <c r="H5" i="17"/>
  <c r="I5" i="17"/>
  <c r="J5" i="17"/>
  <c r="K5" i="17"/>
  <c r="L5" i="17"/>
  <c r="M5" i="17"/>
  <c r="N5" i="17"/>
  <c r="O5" i="17"/>
  <c r="P5" i="17"/>
  <c r="Q5" i="17"/>
  <c r="R5" i="17"/>
  <c r="S5" i="17"/>
  <c r="A6" i="17"/>
  <c r="B6" i="17"/>
  <c r="C6" i="17" s="1"/>
  <c r="E6" i="17"/>
  <c r="F6" i="17"/>
  <c r="G6" i="17"/>
  <c r="H6" i="17"/>
  <c r="I6" i="17"/>
  <c r="J6" i="17"/>
  <c r="K6" i="17"/>
  <c r="L6" i="17"/>
  <c r="M6" i="17"/>
  <c r="N6" i="17"/>
  <c r="O6" i="17"/>
  <c r="P6" i="17"/>
  <c r="Q6" i="17"/>
  <c r="R6" i="17"/>
  <c r="S6" i="17"/>
  <c r="A7" i="17"/>
  <c r="B7" i="17"/>
  <c r="C7" i="17" s="1"/>
  <c r="E7" i="17"/>
  <c r="F7" i="17"/>
  <c r="G7" i="17"/>
  <c r="H7" i="17"/>
  <c r="I7" i="17"/>
  <c r="J7" i="17"/>
  <c r="K7" i="17"/>
  <c r="L7" i="17"/>
  <c r="M7" i="17"/>
  <c r="N7" i="17"/>
  <c r="O7" i="17"/>
  <c r="P7" i="17"/>
  <c r="Q7" i="17"/>
  <c r="R7" i="17"/>
  <c r="S7" i="17"/>
  <c r="A8" i="17"/>
  <c r="B8" i="17"/>
  <c r="C8" i="17" s="1"/>
  <c r="E8" i="17"/>
  <c r="F8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A9" i="17"/>
  <c r="B9" i="17"/>
  <c r="C9" i="17" s="1"/>
  <c r="E9" i="17"/>
  <c r="F9" i="17"/>
  <c r="G9" i="17"/>
  <c r="H9" i="17"/>
  <c r="I9" i="17"/>
  <c r="J9" i="17"/>
  <c r="K9" i="17"/>
  <c r="L9" i="17"/>
  <c r="M9" i="17"/>
  <c r="N9" i="17"/>
  <c r="O9" i="17"/>
  <c r="P9" i="17"/>
  <c r="Q9" i="17"/>
  <c r="R9" i="17"/>
  <c r="S9" i="17"/>
  <c r="A10" i="17"/>
  <c r="B10" i="17"/>
  <c r="C10" i="17" s="1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A11" i="17"/>
  <c r="B11" i="17"/>
  <c r="C11" i="17" s="1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A12" i="17"/>
  <c r="B12" i="17"/>
  <c r="C12" i="17" s="1"/>
  <c r="E12" i="17"/>
  <c r="F12" i="17"/>
  <c r="G12" i="17"/>
  <c r="H12" i="17"/>
  <c r="I12" i="17"/>
  <c r="J12" i="17"/>
  <c r="K12" i="17"/>
  <c r="L12" i="17"/>
  <c r="M12" i="17"/>
  <c r="N12" i="17"/>
  <c r="O12" i="17"/>
  <c r="P12" i="17"/>
  <c r="Q12" i="17"/>
  <c r="R12" i="17"/>
  <c r="S12" i="17"/>
  <c r="A13" i="17"/>
  <c r="B13" i="17"/>
  <c r="C13" i="17" s="1"/>
  <c r="E13" i="17"/>
  <c r="F13" i="17"/>
  <c r="G13" i="17"/>
  <c r="H13" i="17"/>
  <c r="I13" i="17"/>
  <c r="J13" i="17"/>
  <c r="K13" i="17"/>
  <c r="L13" i="17"/>
  <c r="M13" i="17"/>
  <c r="N13" i="17"/>
  <c r="O13" i="17"/>
  <c r="P13" i="17"/>
  <c r="Q13" i="17"/>
  <c r="R13" i="17"/>
  <c r="S13" i="17"/>
  <c r="B16" i="17"/>
  <c r="C16" i="17" s="1"/>
  <c r="E16" i="17"/>
  <c r="F16" i="17"/>
  <c r="G16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B17" i="17"/>
  <c r="C17" i="17" s="1"/>
  <c r="E17" i="17"/>
  <c r="F17" i="17"/>
  <c r="G17" i="17"/>
  <c r="H17" i="17"/>
  <c r="I17" i="17"/>
  <c r="J17" i="17"/>
  <c r="K17" i="17"/>
  <c r="L17" i="17"/>
  <c r="M17" i="17"/>
  <c r="N17" i="17"/>
  <c r="O17" i="17"/>
  <c r="P17" i="17"/>
  <c r="Q17" i="17"/>
  <c r="R17" i="17"/>
  <c r="S17" i="17"/>
  <c r="B18" i="17"/>
  <c r="C18" i="17" s="1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B19" i="17"/>
  <c r="C19" i="17" s="1"/>
  <c r="E19" i="17"/>
  <c r="F19" i="17"/>
  <c r="G19" i="17"/>
  <c r="H19" i="17"/>
  <c r="I19" i="17"/>
  <c r="J19" i="17"/>
  <c r="K19" i="17"/>
  <c r="L19" i="17"/>
  <c r="M19" i="17"/>
  <c r="N19" i="17"/>
  <c r="O19" i="17"/>
  <c r="P19" i="17"/>
  <c r="Q19" i="17"/>
  <c r="R19" i="17"/>
  <c r="S19" i="17"/>
  <c r="B20" i="17"/>
  <c r="C20" i="17" s="1"/>
  <c r="E20" i="17"/>
  <c r="F20" i="17"/>
  <c r="G20" i="17"/>
  <c r="H20" i="17"/>
  <c r="I20" i="17"/>
  <c r="J20" i="17"/>
  <c r="K20" i="17"/>
  <c r="L20" i="17"/>
  <c r="M20" i="17"/>
  <c r="N20" i="17"/>
  <c r="O20" i="17"/>
  <c r="P20" i="17"/>
  <c r="Q20" i="17"/>
  <c r="R20" i="17"/>
  <c r="S20" i="17"/>
  <c r="B21" i="17"/>
  <c r="C21" i="17" s="1"/>
  <c r="E21" i="17"/>
  <c r="F21" i="17"/>
  <c r="G21" i="17"/>
  <c r="H21" i="17"/>
  <c r="I21" i="17"/>
  <c r="J21" i="17"/>
  <c r="K21" i="17"/>
  <c r="L21" i="17"/>
  <c r="M21" i="17"/>
  <c r="N21" i="17"/>
  <c r="O21" i="17"/>
  <c r="P21" i="17"/>
  <c r="Q21" i="17"/>
  <c r="R21" i="17"/>
  <c r="S21" i="17"/>
  <c r="B22" i="17"/>
  <c r="C22" i="17" s="1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B23" i="17"/>
  <c r="C23" i="17" s="1"/>
  <c r="E23" i="17"/>
  <c r="F23" i="17"/>
  <c r="G23" i="17"/>
  <c r="H23" i="17"/>
  <c r="I23" i="17"/>
  <c r="J23" i="17"/>
  <c r="K23" i="17"/>
  <c r="L23" i="17"/>
  <c r="M23" i="17"/>
  <c r="N23" i="17"/>
  <c r="O23" i="17"/>
  <c r="P23" i="17"/>
  <c r="Q23" i="17"/>
  <c r="R23" i="17"/>
  <c r="S23" i="17"/>
  <c r="B24" i="17"/>
  <c r="C24" i="17" s="1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B25" i="17"/>
  <c r="C25" i="17" s="1"/>
  <c r="E25" i="17"/>
  <c r="F25" i="17"/>
  <c r="G25" i="17"/>
  <c r="H25" i="17"/>
  <c r="I25" i="17"/>
  <c r="J25" i="17"/>
  <c r="K25" i="17"/>
  <c r="L25" i="17"/>
  <c r="M25" i="17"/>
  <c r="N25" i="17"/>
  <c r="O25" i="17"/>
  <c r="P25" i="17"/>
  <c r="Q25" i="17"/>
  <c r="R25" i="17"/>
  <c r="S25" i="17"/>
  <c r="B28" i="17"/>
  <c r="C28" i="17" s="1"/>
  <c r="E28" i="17"/>
  <c r="F28" i="17"/>
  <c r="G28" i="17"/>
  <c r="H28" i="17"/>
  <c r="I28" i="17"/>
  <c r="J28" i="17"/>
  <c r="K28" i="17"/>
  <c r="L28" i="17"/>
  <c r="M28" i="17"/>
  <c r="N28" i="17"/>
  <c r="O28" i="17"/>
  <c r="P28" i="17"/>
  <c r="Q28" i="17"/>
  <c r="R28" i="17"/>
  <c r="S28" i="17"/>
  <c r="B29" i="17"/>
  <c r="C29" i="17" s="1"/>
  <c r="E29" i="17"/>
  <c r="F29" i="17"/>
  <c r="G29" i="17"/>
  <c r="H29" i="17"/>
  <c r="I29" i="17"/>
  <c r="J29" i="17"/>
  <c r="K29" i="17"/>
  <c r="L29" i="17"/>
  <c r="M29" i="17"/>
  <c r="N29" i="17"/>
  <c r="O29" i="17"/>
  <c r="P29" i="17"/>
  <c r="Q29" i="17"/>
  <c r="R29" i="17"/>
  <c r="S29" i="17"/>
  <c r="B30" i="17"/>
  <c r="C30" i="17" s="1"/>
  <c r="E30" i="17"/>
  <c r="F30" i="17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B33" i="17"/>
  <c r="C33" i="17" s="1"/>
  <c r="E33" i="17"/>
  <c r="F33" i="17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B34" i="17"/>
  <c r="C34" i="17" s="1"/>
  <c r="E34" i="17"/>
  <c r="F34" i="17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B35" i="17"/>
  <c r="C35" i="17" s="1"/>
  <c r="E35" i="17"/>
  <c r="F35" i="17"/>
  <c r="F71" i="17" s="1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B38" i="17"/>
  <c r="C38" i="17" s="1"/>
  <c r="E38" i="17"/>
  <c r="F38" i="17"/>
  <c r="G38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B39" i="17"/>
  <c r="C39" i="17" s="1"/>
  <c r="E39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S39" i="17"/>
  <c r="B40" i="17"/>
  <c r="C40" i="17" s="1"/>
  <c r="E40" i="17"/>
  <c r="F40" i="17"/>
  <c r="G40" i="17"/>
  <c r="H40" i="17"/>
  <c r="I40" i="17"/>
  <c r="J40" i="17"/>
  <c r="K40" i="17"/>
  <c r="L40" i="17"/>
  <c r="M40" i="17"/>
  <c r="N40" i="17"/>
  <c r="O40" i="17"/>
  <c r="P40" i="17"/>
  <c r="Q40" i="17"/>
  <c r="R40" i="17"/>
  <c r="S40" i="17"/>
  <c r="B43" i="17"/>
  <c r="C43" i="17" s="1"/>
  <c r="E43" i="17"/>
  <c r="F43" i="17"/>
  <c r="G43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B44" i="17"/>
  <c r="C44" i="17" s="1"/>
  <c r="E44" i="17"/>
  <c r="F44" i="17"/>
  <c r="G44" i="17"/>
  <c r="H44" i="17"/>
  <c r="I44" i="17"/>
  <c r="J44" i="17"/>
  <c r="K44" i="17"/>
  <c r="L44" i="17"/>
  <c r="M44" i="17"/>
  <c r="N44" i="17"/>
  <c r="O44" i="17"/>
  <c r="P44" i="17"/>
  <c r="Q44" i="17"/>
  <c r="R44" i="17"/>
  <c r="S44" i="17"/>
  <c r="B45" i="17"/>
  <c r="C45" i="17" s="1"/>
  <c r="E45" i="17"/>
  <c r="F45" i="17"/>
  <c r="G45" i="17"/>
  <c r="H45" i="17"/>
  <c r="I45" i="17"/>
  <c r="J45" i="17"/>
  <c r="K45" i="17"/>
  <c r="L45" i="17"/>
  <c r="M45" i="17"/>
  <c r="N45" i="17"/>
  <c r="O45" i="17"/>
  <c r="P45" i="17"/>
  <c r="Q45" i="17"/>
  <c r="R45" i="17"/>
  <c r="S45" i="17"/>
  <c r="C65" i="17"/>
  <c r="C87" i="17"/>
  <c r="H8" i="11"/>
  <c r="I8" i="11"/>
  <c r="J8" i="11"/>
  <c r="K8" i="11"/>
  <c r="AE18" i="11"/>
  <c r="AF18" i="11"/>
  <c r="AG18" i="11"/>
  <c r="AH18" i="11"/>
  <c r="AI18" i="11"/>
  <c r="AD27" i="11"/>
  <c r="D42" i="15"/>
  <c r="E7" i="2"/>
  <c r="P7" i="2"/>
  <c r="C9" i="2"/>
  <c r="D9" i="2"/>
  <c r="E9" i="2"/>
  <c r="F9" i="2"/>
  <c r="G9" i="2"/>
  <c r="H9" i="2"/>
  <c r="I9" i="2"/>
  <c r="J9" i="2"/>
  <c r="N9" i="2"/>
  <c r="O9" i="2"/>
  <c r="P9" i="2"/>
  <c r="Q9" i="2"/>
  <c r="R9" i="2"/>
  <c r="S9" i="2"/>
  <c r="T9" i="2"/>
  <c r="B11" i="2"/>
  <c r="B14" i="2" s="1"/>
  <c r="M11" i="2"/>
  <c r="M14" i="2" s="1"/>
  <c r="B16" i="2"/>
  <c r="M16" i="2"/>
  <c r="E29" i="2"/>
  <c r="P29" i="2"/>
  <c r="C31" i="2"/>
  <c r="D31" i="2"/>
  <c r="E31" i="2"/>
  <c r="F31" i="2"/>
  <c r="G31" i="2"/>
  <c r="H31" i="2"/>
  <c r="I31" i="2"/>
  <c r="J31" i="2"/>
  <c r="N31" i="2"/>
  <c r="O31" i="2"/>
  <c r="P31" i="2"/>
  <c r="Q31" i="2"/>
  <c r="R31" i="2"/>
  <c r="S31" i="2"/>
  <c r="T31" i="2"/>
  <c r="B33" i="2"/>
  <c r="B36" i="2" s="1"/>
  <c r="M33" i="2"/>
  <c r="M36" i="2" s="1"/>
  <c r="B38" i="2"/>
  <c r="G3" i="6"/>
  <c r="H3" i="6"/>
  <c r="I3" i="6"/>
  <c r="J3" i="6"/>
  <c r="K3" i="6"/>
  <c r="N3" i="6"/>
  <c r="O3" i="6"/>
  <c r="R67" i="6" s="1"/>
  <c r="P3" i="6"/>
  <c r="Q3" i="6"/>
  <c r="R3" i="6"/>
  <c r="Q67" i="6" s="1"/>
  <c r="U3" i="6"/>
  <c r="V3" i="6"/>
  <c r="Y67" i="6" s="1"/>
  <c r="W3" i="6"/>
  <c r="X3" i="6"/>
  <c r="Y3" i="6"/>
  <c r="X67" i="6" s="1"/>
  <c r="G11" i="6"/>
  <c r="H11" i="6"/>
  <c r="N11" i="6"/>
  <c r="O11" i="6"/>
  <c r="U11" i="6"/>
  <c r="V11" i="6"/>
  <c r="G12" i="6"/>
  <c r="H12" i="6"/>
  <c r="N12" i="6"/>
  <c r="O12" i="6"/>
  <c r="U12" i="6"/>
  <c r="V12" i="6"/>
  <c r="G13" i="6"/>
  <c r="H13" i="6"/>
  <c r="I13" i="6" s="1"/>
  <c r="N13" i="6"/>
  <c r="O13" i="6"/>
  <c r="U13" i="6"/>
  <c r="V13" i="6"/>
  <c r="G14" i="6"/>
  <c r="H14" i="6"/>
  <c r="N14" i="6"/>
  <c r="O14" i="6"/>
  <c r="P14" i="6" s="1"/>
  <c r="U14" i="6"/>
  <c r="V14" i="6"/>
  <c r="G15" i="6"/>
  <c r="H15" i="6"/>
  <c r="N15" i="6"/>
  <c r="O15" i="6"/>
  <c r="U15" i="6"/>
  <c r="V15" i="6"/>
  <c r="G16" i="6"/>
  <c r="H16" i="6"/>
  <c r="N16" i="6"/>
  <c r="O16" i="6"/>
  <c r="U16" i="6"/>
  <c r="V16" i="6"/>
  <c r="G17" i="6"/>
  <c r="H17" i="6"/>
  <c r="I17" i="6" s="1"/>
  <c r="N17" i="6"/>
  <c r="O17" i="6"/>
  <c r="U17" i="6"/>
  <c r="V17" i="6"/>
  <c r="G18" i="6"/>
  <c r="H18" i="6"/>
  <c r="N18" i="6"/>
  <c r="O18" i="6"/>
  <c r="U18" i="6"/>
  <c r="V18" i="6"/>
  <c r="G19" i="6"/>
  <c r="H19" i="6"/>
  <c r="N19" i="6"/>
  <c r="O19" i="6"/>
  <c r="U19" i="6"/>
  <c r="V19" i="6"/>
  <c r="G20" i="6"/>
  <c r="H20" i="6"/>
  <c r="N20" i="6"/>
  <c r="O20" i="6"/>
  <c r="P20" i="6" s="1"/>
  <c r="U20" i="6"/>
  <c r="V20" i="6"/>
  <c r="G21" i="6"/>
  <c r="H21" i="6"/>
  <c r="N21" i="6"/>
  <c r="O21" i="6"/>
  <c r="U21" i="6"/>
  <c r="V21" i="6"/>
  <c r="W21" i="6" s="1"/>
  <c r="G22" i="6"/>
  <c r="H22" i="6"/>
  <c r="N22" i="6"/>
  <c r="O22" i="6"/>
  <c r="U22" i="6"/>
  <c r="V22" i="6"/>
  <c r="G23" i="6"/>
  <c r="H23" i="6"/>
  <c r="I23" i="6" s="1"/>
  <c r="N23" i="6"/>
  <c r="O23" i="6"/>
  <c r="U23" i="6"/>
  <c r="V23" i="6"/>
  <c r="G24" i="6"/>
  <c r="H24" i="6"/>
  <c r="N24" i="6"/>
  <c r="O24" i="6"/>
  <c r="P24" i="6" s="1"/>
  <c r="U24" i="6"/>
  <c r="V24" i="6"/>
  <c r="G25" i="6"/>
  <c r="H25" i="6"/>
  <c r="N25" i="6"/>
  <c r="O25" i="6"/>
  <c r="U25" i="6"/>
  <c r="V25" i="6"/>
  <c r="W25" i="6" s="1"/>
  <c r="G26" i="6"/>
  <c r="H26" i="6"/>
  <c r="N26" i="6"/>
  <c r="O26" i="6"/>
  <c r="U26" i="6"/>
  <c r="V26" i="6"/>
  <c r="G27" i="6"/>
  <c r="H27" i="6"/>
  <c r="I27" i="6" s="1"/>
  <c r="N27" i="6"/>
  <c r="O27" i="6"/>
  <c r="U27" i="6"/>
  <c r="V27" i="6"/>
  <c r="G28" i="6"/>
  <c r="H28" i="6"/>
  <c r="N28" i="6"/>
  <c r="O28" i="6"/>
  <c r="P28" i="6" s="1"/>
  <c r="U28" i="6"/>
  <c r="V28" i="6"/>
  <c r="G29" i="6"/>
  <c r="H29" i="6"/>
  <c r="N29" i="6"/>
  <c r="O29" i="6"/>
  <c r="U29" i="6"/>
  <c r="V29" i="6"/>
  <c r="G30" i="6"/>
  <c r="H30" i="6"/>
  <c r="N30" i="6"/>
  <c r="O30" i="6"/>
  <c r="P30" i="6" s="1"/>
  <c r="U30" i="6"/>
  <c r="V30" i="6"/>
  <c r="G31" i="6"/>
  <c r="H31" i="6"/>
  <c r="N31" i="6"/>
  <c r="O31" i="6"/>
  <c r="U31" i="6"/>
  <c r="V31" i="6"/>
  <c r="G32" i="6"/>
  <c r="H32" i="6"/>
  <c r="N32" i="6"/>
  <c r="O32" i="6"/>
  <c r="U32" i="6"/>
  <c r="V32" i="6"/>
  <c r="G33" i="6"/>
  <c r="H33" i="6"/>
  <c r="I33" i="6" s="1"/>
  <c r="N33" i="6"/>
  <c r="O33" i="6"/>
  <c r="U33" i="6"/>
  <c r="V33" i="6"/>
  <c r="G34" i="6"/>
  <c r="H34" i="6"/>
  <c r="N34" i="6"/>
  <c r="O34" i="6"/>
  <c r="U34" i="6"/>
  <c r="V34" i="6"/>
  <c r="G35" i="6"/>
  <c r="H35" i="6"/>
  <c r="N35" i="6"/>
  <c r="O35" i="6"/>
  <c r="U35" i="6"/>
  <c r="V35" i="6"/>
  <c r="W35" i="6" s="1"/>
  <c r="G36" i="6"/>
  <c r="H36" i="6"/>
  <c r="N36" i="6"/>
  <c r="O36" i="6"/>
  <c r="U36" i="6"/>
  <c r="V36" i="6"/>
  <c r="G37" i="6"/>
  <c r="H37" i="6"/>
  <c r="N37" i="6"/>
  <c r="O37" i="6"/>
  <c r="U37" i="6"/>
  <c r="V37" i="6"/>
  <c r="G38" i="6"/>
  <c r="H38" i="6"/>
  <c r="N38" i="6"/>
  <c r="O38" i="6"/>
  <c r="P38" i="6" s="1"/>
  <c r="U38" i="6"/>
  <c r="V38" i="6"/>
  <c r="G39" i="6"/>
  <c r="H39" i="6"/>
  <c r="I39" i="6" s="1"/>
  <c r="N39" i="6"/>
  <c r="O39" i="6"/>
  <c r="U39" i="6"/>
  <c r="V39" i="6"/>
  <c r="G40" i="6"/>
  <c r="H40" i="6"/>
  <c r="N40" i="6"/>
  <c r="O40" i="6"/>
  <c r="U40" i="6"/>
  <c r="V40" i="6"/>
  <c r="G41" i="6"/>
  <c r="H41" i="6"/>
  <c r="I41" i="6" s="1"/>
  <c r="N41" i="6"/>
  <c r="O41" i="6"/>
  <c r="U41" i="6"/>
  <c r="V41" i="6"/>
  <c r="W41" i="6" s="1"/>
  <c r="G42" i="6"/>
  <c r="H42" i="6"/>
  <c r="N42" i="6"/>
  <c r="O42" i="6"/>
  <c r="U42" i="6"/>
  <c r="V42" i="6"/>
  <c r="G43" i="6"/>
  <c r="H43" i="6"/>
  <c r="I43" i="6" s="1"/>
  <c r="N43" i="6"/>
  <c r="O43" i="6"/>
  <c r="U43" i="6"/>
  <c r="V43" i="6"/>
  <c r="W43" i="6" s="1"/>
  <c r="G44" i="6"/>
  <c r="H44" i="6"/>
  <c r="N44" i="6"/>
  <c r="O44" i="6"/>
  <c r="P44" i="6" s="1"/>
  <c r="U44" i="6"/>
  <c r="V44" i="6"/>
  <c r="G69" i="6"/>
  <c r="H69" i="6"/>
  <c r="N69" i="6"/>
  <c r="O69" i="6"/>
  <c r="U69" i="6"/>
  <c r="V69" i="6"/>
  <c r="A70" i="6"/>
  <c r="G70" i="6" s="1"/>
  <c r="D70" i="6"/>
  <c r="D71" i="6" s="1"/>
  <c r="D72" i="6"/>
  <c r="D73" i="6"/>
  <c r="D74" i="6"/>
  <c r="C10" i="5" s="1"/>
  <c r="B75" i="10"/>
  <c r="D39" i="1"/>
  <c r="D40" i="1"/>
  <c r="D38" i="14" s="1"/>
  <c r="D42" i="14"/>
  <c r="Z67" i="6" l="1"/>
  <c r="S67" i="6"/>
  <c r="J66" i="6"/>
  <c r="J67" i="6"/>
  <c r="K65" i="6"/>
  <c r="K67" i="6"/>
  <c r="L67" i="6" s="1"/>
  <c r="I40" i="6"/>
  <c r="W34" i="6"/>
  <c r="X54" i="6"/>
  <c r="X66" i="6"/>
  <c r="Y65" i="6"/>
  <c r="Y66" i="6"/>
  <c r="Z66" i="6" s="1"/>
  <c r="Y54" i="6"/>
  <c r="Z54" i="6" s="1"/>
  <c r="Q65" i="6"/>
  <c r="Q66" i="6"/>
  <c r="R65" i="6"/>
  <c r="R66" i="6"/>
  <c r="S66" i="6" s="1"/>
  <c r="K66" i="6"/>
  <c r="L66" i="6" s="1"/>
  <c r="AM35" i="2"/>
  <c r="AH35" i="2"/>
  <c r="AI35" i="2"/>
  <c r="AJ35" i="2"/>
  <c r="AK35" i="2"/>
  <c r="AL35" i="2"/>
  <c r="AN35" i="2"/>
  <c r="AK13" i="2"/>
  <c r="AH13" i="2"/>
  <c r="AI13" i="2"/>
  <c r="AJ13" i="2"/>
  <c r="AL13" i="2"/>
  <c r="AM13" i="2"/>
  <c r="AN13" i="2"/>
  <c r="J64" i="6"/>
  <c r="J65" i="6"/>
  <c r="L65" i="6" s="1"/>
  <c r="X64" i="6"/>
  <c r="X65" i="6"/>
  <c r="Z65" i="6" s="1"/>
  <c r="S65" i="6"/>
  <c r="G15" i="9"/>
  <c r="T15" i="9" s="1"/>
  <c r="G12" i="9"/>
  <c r="AF12" i="9" s="1"/>
  <c r="Y63" i="6"/>
  <c r="Y64" i="6"/>
  <c r="I18" i="6"/>
  <c r="W16" i="6"/>
  <c r="P15" i="6"/>
  <c r="I14" i="6"/>
  <c r="W12" i="6"/>
  <c r="P11" i="6"/>
  <c r="Q63" i="6"/>
  <c r="Q64" i="6"/>
  <c r="K63" i="6"/>
  <c r="K64" i="6"/>
  <c r="L64" i="6" s="1"/>
  <c r="Z64" i="6"/>
  <c r="W18" i="6"/>
  <c r="R63" i="6"/>
  <c r="S63" i="6" s="1"/>
  <c r="R64" i="6"/>
  <c r="S64" i="6" s="1"/>
  <c r="J62" i="6"/>
  <c r="J63" i="6"/>
  <c r="L63" i="6" s="1"/>
  <c r="X62" i="6"/>
  <c r="X63" i="6"/>
  <c r="Z63" i="6" s="1"/>
  <c r="P39" i="6"/>
  <c r="I38" i="6"/>
  <c r="W36" i="6"/>
  <c r="P35" i="6"/>
  <c r="I34" i="6"/>
  <c r="W32" i="6"/>
  <c r="P31" i="6"/>
  <c r="I30" i="6"/>
  <c r="W28" i="6"/>
  <c r="P27" i="6"/>
  <c r="I26" i="6"/>
  <c r="W24" i="6"/>
  <c r="Y61" i="6"/>
  <c r="Y62" i="6"/>
  <c r="K60" i="6"/>
  <c r="K62" i="6"/>
  <c r="L62" i="6" s="1"/>
  <c r="Q61" i="6"/>
  <c r="Q62" i="6"/>
  <c r="P29" i="6"/>
  <c r="P13" i="6"/>
  <c r="R62" i="6"/>
  <c r="J60" i="6"/>
  <c r="J61" i="6"/>
  <c r="X60" i="6"/>
  <c r="X61" i="6"/>
  <c r="R61" i="6"/>
  <c r="G21" i="9"/>
  <c r="AF21" i="9" s="1"/>
  <c r="G6" i="9"/>
  <c r="K61" i="6"/>
  <c r="Q59" i="6"/>
  <c r="Q60" i="6"/>
  <c r="Y59" i="6"/>
  <c r="Y60" i="6"/>
  <c r="R60" i="6"/>
  <c r="K57" i="6"/>
  <c r="K59" i="6"/>
  <c r="J58" i="6"/>
  <c r="J59" i="6"/>
  <c r="X58" i="6"/>
  <c r="X59" i="6"/>
  <c r="R59" i="6"/>
  <c r="Q57" i="6"/>
  <c r="Q58" i="6"/>
  <c r="K58" i="6"/>
  <c r="Y57" i="6"/>
  <c r="Y58" i="6"/>
  <c r="R58" i="6"/>
  <c r="J57" i="6"/>
  <c r="R57" i="6"/>
  <c r="W44" i="6"/>
  <c r="P43" i="6"/>
  <c r="I42" i="6"/>
  <c r="W40" i="6"/>
  <c r="W27" i="6"/>
  <c r="I25" i="6"/>
  <c r="P22" i="6"/>
  <c r="W19" i="6"/>
  <c r="P40" i="6"/>
  <c r="P23" i="6"/>
  <c r="I22" i="6"/>
  <c r="W20" i="6"/>
  <c r="P19" i="6"/>
  <c r="W37" i="6"/>
  <c r="P36" i="6"/>
  <c r="I35" i="6"/>
  <c r="W33" i="6"/>
  <c r="P32" i="6"/>
  <c r="I31" i="6"/>
  <c r="W29" i="6"/>
  <c r="I19" i="6"/>
  <c r="W17" i="6"/>
  <c r="P16" i="6"/>
  <c r="I15" i="6"/>
  <c r="I24" i="6"/>
  <c r="X56" i="6"/>
  <c r="X57" i="6"/>
  <c r="J35" i="2"/>
  <c r="J38" i="2" s="1"/>
  <c r="X35" i="2"/>
  <c r="AB35" i="2"/>
  <c r="Y35" i="2"/>
  <c r="Z35" i="2"/>
  <c r="AC35" i="2"/>
  <c r="AD35" i="2"/>
  <c r="AA35" i="2"/>
  <c r="E13" i="2"/>
  <c r="Y13" i="2"/>
  <c r="AA13" i="2"/>
  <c r="AC13" i="2"/>
  <c r="X13" i="2"/>
  <c r="Z13" i="2"/>
  <c r="AB13" i="2"/>
  <c r="AD13" i="2"/>
  <c r="J55" i="6"/>
  <c r="J56" i="6"/>
  <c r="W42" i="6"/>
  <c r="I32" i="6"/>
  <c r="P21" i="6"/>
  <c r="W11" i="6"/>
  <c r="Y55" i="6"/>
  <c r="Y56" i="6"/>
  <c r="R55" i="6"/>
  <c r="R56" i="6"/>
  <c r="P37" i="6"/>
  <c r="W26" i="6"/>
  <c r="I16" i="6"/>
  <c r="Q55" i="6"/>
  <c r="Q56" i="6"/>
  <c r="K55" i="6"/>
  <c r="K56" i="6"/>
  <c r="X53" i="6"/>
  <c r="X55" i="6"/>
  <c r="R54" i="6"/>
  <c r="Q53" i="6"/>
  <c r="Q54" i="6"/>
  <c r="K53" i="6"/>
  <c r="K54" i="6"/>
  <c r="J54" i="6"/>
  <c r="Y52" i="6"/>
  <c r="Y53" i="6"/>
  <c r="R53" i="6"/>
  <c r="J53" i="6"/>
  <c r="G5" i="9"/>
  <c r="T5" i="9" s="1"/>
  <c r="G18" i="9"/>
  <c r="K51" i="6"/>
  <c r="K52" i="6"/>
  <c r="X51" i="6"/>
  <c r="X52" i="6"/>
  <c r="R52" i="6"/>
  <c r="Q51" i="6"/>
  <c r="Q52" i="6"/>
  <c r="J52" i="6"/>
  <c r="B70" i="6"/>
  <c r="H70" i="6" s="1"/>
  <c r="G73" i="6" s="1"/>
  <c r="Y50" i="6"/>
  <c r="Y51" i="6"/>
  <c r="R51" i="6"/>
  <c r="J51" i="6"/>
  <c r="Q49" i="6"/>
  <c r="Q50" i="6"/>
  <c r="K48" i="6"/>
  <c r="K50" i="6"/>
  <c r="J49" i="6"/>
  <c r="J50" i="6"/>
  <c r="X49" i="6"/>
  <c r="X50" i="6"/>
  <c r="R50" i="6"/>
  <c r="Y48" i="6"/>
  <c r="Y49" i="6"/>
  <c r="R49" i="6"/>
  <c r="K49" i="6"/>
  <c r="X47" i="6"/>
  <c r="X48" i="6"/>
  <c r="R47" i="6"/>
  <c r="R48" i="6"/>
  <c r="Q47" i="6"/>
  <c r="Q48" i="6"/>
  <c r="J48" i="6"/>
  <c r="Y46" i="6"/>
  <c r="Y47" i="6"/>
  <c r="K46" i="6"/>
  <c r="K47" i="6"/>
  <c r="J47" i="6"/>
  <c r="G22" i="9"/>
  <c r="G20" i="9"/>
  <c r="G23" i="9"/>
  <c r="P69" i="6"/>
  <c r="X45" i="6"/>
  <c r="X46" i="6"/>
  <c r="R46" i="6"/>
  <c r="Q45" i="6"/>
  <c r="Q46" i="6"/>
  <c r="J46" i="6"/>
  <c r="Y45" i="6"/>
  <c r="R45" i="6"/>
  <c r="J45" i="6"/>
  <c r="K45" i="6"/>
  <c r="W69" i="6"/>
  <c r="W30" i="6"/>
  <c r="I20" i="6"/>
  <c r="P41" i="6"/>
  <c r="I36" i="6"/>
  <c r="P25" i="6"/>
  <c r="W14" i="6"/>
  <c r="I12" i="6"/>
  <c r="N70" i="6"/>
  <c r="I44" i="6"/>
  <c r="W38" i="6"/>
  <c r="P33" i="6"/>
  <c r="I28" i="6"/>
  <c r="W22" i="6"/>
  <c r="P17" i="6"/>
  <c r="W13" i="6"/>
  <c r="U70" i="6"/>
  <c r="I69" i="6"/>
  <c r="P42" i="6"/>
  <c r="W39" i="6"/>
  <c r="I37" i="6"/>
  <c r="P34" i="6"/>
  <c r="W31" i="6"/>
  <c r="I29" i="6"/>
  <c r="P26" i="6"/>
  <c r="W23" i="6"/>
  <c r="I21" i="6"/>
  <c r="P18" i="6"/>
  <c r="W15" i="6"/>
  <c r="P12" i="6"/>
  <c r="C82" i="17"/>
  <c r="C75" i="17"/>
  <c r="C89" i="17"/>
  <c r="C68" i="17"/>
  <c r="C79" i="17"/>
  <c r="C86" i="17"/>
  <c r="C72" i="17"/>
  <c r="C54" i="17"/>
  <c r="C74" i="17"/>
  <c r="C67" i="17"/>
  <c r="C88" i="17"/>
  <c r="C81" i="17"/>
  <c r="C73" i="17"/>
  <c r="C66" i="17"/>
  <c r="C80" i="17"/>
  <c r="C61" i="17"/>
  <c r="C60" i="17"/>
  <c r="C53" i="17"/>
  <c r="Q85" i="17"/>
  <c r="P134" i="17" s="1"/>
  <c r="M85" i="17"/>
  <c r="L134" i="17" s="1"/>
  <c r="E85" i="17"/>
  <c r="Q78" i="17"/>
  <c r="P129" i="17" s="1"/>
  <c r="I78" i="17"/>
  <c r="H129" i="17" s="1"/>
  <c r="X55" i="16" s="1"/>
  <c r="X55" i="18" s="1"/>
  <c r="E78" i="17"/>
  <c r="M64" i="17"/>
  <c r="L119" i="17" s="1"/>
  <c r="R78" i="17"/>
  <c r="Q129" i="17" s="1"/>
  <c r="C51" i="17"/>
  <c r="C58" i="17"/>
  <c r="C52" i="17"/>
  <c r="C59" i="17"/>
  <c r="H71" i="17"/>
  <c r="G124" i="17" s="1"/>
  <c r="W54" i="16" s="1"/>
  <c r="W54" i="18" s="1"/>
  <c r="K85" i="17"/>
  <c r="J134" i="17" s="1"/>
  <c r="I85" i="17"/>
  <c r="H134" i="17" s="1"/>
  <c r="X56" i="16" s="1"/>
  <c r="X56" i="18" s="1"/>
  <c r="M78" i="17"/>
  <c r="L129" i="17" s="1"/>
  <c r="J85" i="17"/>
  <c r="I134" i="17" s="1"/>
  <c r="J78" i="17"/>
  <c r="I129" i="17" s="1"/>
  <c r="E86" i="17"/>
  <c r="R64" i="17"/>
  <c r="Q119" i="17" s="1"/>
  <c r="J64" i="17"/>
  <c r="I119" i="17" s="1"/>
  <c r="Q71" i="17"/>
  <c r="P124" i="17" s="1"/>
  <c r="P71" i="17"/>
  <c r="O124" i="17" s="1"/>
  <c r="L71" i="17"/>
  <c r="K124" i="17" s="1"/>
  <c r="Q64" i="17"/>
  <c r="P119" i="17" s="1"/>
  <c r="I64" i="17"/>
  <c r="H119" i="17" s="1"/>
  <c r="X53" i="16" s="1"/>
  <c r="X53" i="18" s="1"/>
  <c r="E64" i="17"/>
  <c r="F85" i="17"/>
  <c r="N78" i="17"/>
  <c r="M129" i="17" s="1"/>
  <c r="Y55" i="16" s="1"/>
  <c r="Y55" i="18" s="1"/>
  <c r="F78" i="17"/>
  <c r="S85" i="17"/>
  <c r="R134" i="17" s="1"/>
  <c r="G85" i="17"/>
  <c r="F134" i="17" s="1"/>
  <c r="V56" i="16" s="1"/>
  <c r="V56" i="18" s="1"/>
  <c r="S78" i="17"/>
  <c r="R129" i="17" s="1"/>
  <c r="K78" i="17"/>
  <c r="J129" i="17" s="1"/>
  <c r="N85" i="17"/>
  <c r="M134" i="17" s="1"/>
  <c r="Y56" i="16" s="1"/>
  <c r="Y56" i="18" s="1"/>
  <c r="P85" i="17"/>
  <c r="O134" i="17" s="1"/>
  <c r="L85" i="17"/>
  <c r="K134" i="17" s="1"/>
  <c r="M71" i="17"/>
  <c r="L124" i="17" s="1"/>
  <c r="I71" i="17"/>
  <c r="H124" i="17" s="1"/>
  <c r="X54" i="16" s="1"/>
  <c r="X54" i="18" s="1"/>
  <c r="E71" i="17"/>
  <c r="R71" i="17"/>
  <c r="Q124" i="17" s="1"/>
  <c r="N71" i="17"/>
  <c r="M124" i="17" s="1"/>
  <c r="Y54" i="16" s="1"/>
  <c r="Y54" i="18" s="1"/>
  <c r="J71" i="17"/>
  <c r="I124" i="17" s="1"/>
  <c r="N64" i="17"/>
  <c r="M119" i="17" s="1"/>
  <c r="Y53" i="16" s="1"/>
  <c r="Y53" i="18" s="1"/>
  <c r="G67" i="17"/>
  <c r="F66" i="17"/>
  <c r="S64" i="17"/>
  <c r="R119" i="17" s="1"/>
  <c r="O64" i="17"/>
  <c r="N119" i="17" s="1"/>
  <c r="K64" i="17"/>
  <c r="J119" i="17" s="1"/>
  <c r="G64" i="17"/>
  <c r="F119" i="17" s="1"/>
  <c r="V53" i="16" s="1"/>
  <c r="V53" i="18" s="1"/>
  <c r="S50" i="17"/>
  <c r="AG99" i="17" s="1"/>
  <c r="O50" i="17"/>
  <c r="AC99" i="17" s="1"/>
  <c r="K50" i="17"/>
  <c r="Y99" i="17" s="1"/>
  <c r="G50" i="17"/>
  <c r="O85" i="17"/>
  <c r="N134" i="17" s="1"/>
  <c r="O78" i="17"/>
  <c r="N129" i="17" s="1"/>
  <c r="G78" i="17"/>
  <c r="F129" i="17" s="1"/>
  <c r="V55" i="16" s="1"/>
  <c r="V55" i="18" s="1"/>
  <c r="R85" i="17"/>
  <c r="Q134" i="17" s="1"/>
  <c r="E79" i="17"/>
  <c r="D79" i="17" s="1"/>
  <c r="P78" i="17"/>
  <c r="O129" i="17" s="1"/>
  <c r="L78" i="17"/>
  <c r="K129" i="17" s="1"/>
  <c r="H82" i="17"/>
  <c r="H78" i="17"/>
  <c r="G129" i="17" s="1"/>
  <c r="W55" i="16" s="1"/>
  <c r="W55" i="18" s="1"/>
  <c r="G74" i="17"/>
  <c r="Q57" i="17"/>
  <c r="AE104" i="17" s="1"/>
  <c r="E57" i="17"/>
  <c r="E65" i="17"/>
  <c r="D65" i="17" s="1"/>
  <c r="F64" i="17"/>
  <c r="F73" i="17"/>
  <c r="G88" i="17"/>
  <c r="E72" i="17"/>
  <c r="F87" i="17"/>
  <c r="D87" i="17" s="1"/>
  <c r="M57" i="17"/>
  <c r="AA104" i="17" s="1"/>
  <c r="I57" i="17"/>
  <c r="W104" i="17" s="1"/>
  <c r="G81" i="17"/>
  <c r="H85" i="17"/>
  <c r="G134" i="17" s="1"/>
  <c r="W56" i="16" s="1"/>
  <c r="W56" i="18" s="1"/>
  <c r="H89" i="17"/>
  <c r="F80" i="17"/>
  <c r="S71" i="17"/>
  <c r="O71" i="17"/>
  <c r="K71" i="17"/>
  <c r="H75" i="17"/>
  <c r="G71" i="17"/>
  <c r="P64" i="17"/>
  <c r="L64" i="17"/>
  <c r="H64" i="17"/>
  <c r="H68" i="17"/>
  <c r="I50" i="17"/>
  <c r="W99" i="17" s="1"/>
  <c r="C85" i="17"/>
  <c r="R57" i="17"/>
  <c r="AF104" i="17" s="1"/>
  <c r="N57" i="17"/>
  <c r="AB104" i="17" s="1"/>
  <c r="J57" i="17"/>
  <c r="X104" i="17" s="1"/>
  <c r="F57" i="17"/>
  <c r="R50" i="17"/>
  <c r="AF99" i="17" s="1"/>
  <c r="N50" i="17"/>
  <c r="AB99" i="17" s="1"/>
  <c r="J50" i="17"/>
  <c r="X99" i="17" s="1"/>
  <c r="P50" i="17"/>
  <c r="AD99" i="17" s="1"/>
  <c r="L50" i="17"/>
  <c r="Z99" i="17" s="1"/>
  <c r="H50" i="17"/>
  <c r="Q15" i="6"/>
  <c r="V24" i="9"/>
  <c r="Y4" i="9"/>
  <c r="AF24" i="9"/>
  <c r="O23" i="9"/>
  <c r="W23" i="9"/>
  <c r="AJ24" i="9"/>
  <c r="O24" i="9"/>
  <c r="R23" i="9"/>
  <c r="U4" i="9"/>
  <c r="T24" i="9"/>
  <c r="X24" i="9"/>
  <c r="P24" i="9"/>
  <c r="S24" i="9"/>
  <c r="AJ4" i="9"/>
  <c r="T4" i="9"/>
  <c r="AE24" i="9"/>
  <c r="U14" i="9"/>
  <c r="AF4" i="9"/>
  <c r="X4" i="9"/>
  <c r="R4" i="9"/>
  <c r="AD26" i="9"/>
  <c r="AA24" i="9"/>
  <c r="V23" i="9"/>
  <c r="V16" i="9"/>
  <c r="O14" i="9"/>
  <c r="AC4" i="9"/>
  <c r="V4" i="9"/>
  <c r="Q4" i="9"/>
  <c r="V25" i="9"/>
  <c r="R25" i="9"/>
  <c r="AK14" i="9"/>
  <c r="AE14" i="9"/>
  <c r="AI14" i="9"/>
  <c r="AD14" i="9"/>
  <c r="Y14" i="9"/>
  <c r="S14" i="9"/>
  <c r="B65" i="8"/>
  <c r="B64" i="8"/>
  <c r="AH26" i="9"/>
  <c r="R26" i="9"/>
  <c r="AI25" i="9"/>
  <c r="AE25" i="9"/>
  <c r="AA25" i="9"/>
  <c r="W25" i="9"/>
  <c r="S25" i="9"/>
  <c r="O25" i="9"/>
  <c r="AH24" i="9"/>
  <c r="AB24" i="9"/>
  <c r="W24" i="9"/>
  <c r="R24" i="9"/>
  <c r="S23" i="9"/>
  <c r="W17" i="9"/>
  <c r="O17" i="9"/>
  <c r="AG14" i="9"/>
  <c r="AA14" i="9"/>
  <c r="V14" i="9"/>
  <c r="Q14" i="9"/>
  <c r="AH4" i="9"/>
  <c r="AH25" i="9"/>
  <c r="AD25" i="9"/>
  <c r="V17" i="9"/>
  <c r="B15" i="8"/>
  <c r="C15" i="8" s="1"/>
  <c r="AK25" i="9"/>
  <c r="AG25" i="9"/>
  <c r="AC25" i="9"/>
  <c r="Y25" i="9"/>
  <c r="U25" i="9"/>
  <c r="Q25" i="9"/>
  <c r="S17" i="9"/>
  <c r="V26" i="9"/>
  <c r="AJ25" i="9"/>
  <c r="AF25" i="9"/>
  <c r="X25" i="9"/>
  <c r="T25" i="9"/>
  <c r="AI24" i="9"/>
  <c r="AD24" i="9"/>
  <c r="R17" i="9"/>
  <c r="AH14" i="9"/>
  <c r="AC14" i="9"/>
  <c r="W14" i="9"/>
  <c r="R14" i="9"/>
  <c r="P4" i="9"/>
  <c r="Y13" i="6"/>
  <c r="R40" i="6"/>
  <c r="K13" i="6"/>
  <c r="X40" i="6"/>
  <c r="K42" i="6"/>
  <c r="K34" i="6"/>
  <c r="J36" i="6"/>
  <c r="Q70" i="6"/>
  <c r="Q43" i="6"/>
  <c r="K43" i="6"/>
  <c r="X32" i="6"/>
  <c r="R32" i="6"/>
  <c r="X71" i="6"/>
  <c r="K15" i="6"/>
  <c r="R39" i="6"/>
  <c r="Q35" i="6"/>
  <c r="Y69" i="6"/>
  <c r="Y30" i="6"/>
  <c r="J30" i="6"/>
  <c r="Y29" i="6"/>
  <c r="Y27" i="6"/>
  <c r="Y25" i="6"/>
  <c r="Y23" i="6"/>
  <c r="Y21" i="6"/>
  <c r="Y19" i="6"/>
  <c r="Y17" i="6"/>
  <c r="Y42" i="6"/>
  <c r="J38" i="6"/>
  <c r="K35" i="6"/>
  <c r="J44" i="6"/>
  <c r="Y43" i="6"/>
  <c r="Y40" i="6"/>
  <c r="Y39" i="6"/>
  <c r="Y33" i="6"/>
  <c r="J16" i="6"/>
  <c r="Y15" i="6"/>
  <c r="Y12" i="6"/>
  <c r="Y11" i="6"/>
  <c r="Y38" i="6"/>
  <c r="Y37" i="6"/>
  <c r="Y34" i="6"/>
  <c r="R12" i="6"/>
  <c r="K37" i="6"/>
  <c r="Y44" i="6"/>
  <c r="Y41" i="6"/>
  <c r="Y36" i="6"/>
  <c r="Y35" i="6"/>
  <c r="Y32" i="6"/>
  <c r="Y31" i="6"/>
  <c r="R31" i="6"/>
  <c r="X8" i="6"/>
  <c r="X12" i="6"/>
  <c r="X29" i="6"/>
  <c r="X31" i="6"/>
  <c r="X33" i="6"/>
  <c r="X35" i="6"/>
  <c r="X37" i="6"/>
  <c r="X39" i="6"/>
  <c r="X41" i="6"/>
  <c r="X43" i="6"/>
  <c r="X69" i="6"/>
  <c r="X11" i="6"/>
  <c r="X13" i="6"/>
  <c r="X15" i="6"/>
  <c r="Q9" i="6"/>
  <c r="Q10" i="6"/>
  <c r="Q12" i="6"/>
  <c r="Q30" i="6"/>
  <c r="Q32" i="6"/>
  <c r="Q34" i="6"/>
  <c r="Q36" i="6"/>
  <c r="Q38" i="6"/>
  <c r="Q40" i="6"/>
  <c r="Q42" i="6"/>
  <c r="Q44" i="6"/>
  <c r="Q8" i="6"/>
  <c r="Q13" i="6"/>
  <c r="Q14" i="6"/>
  <c r="Q16" i="6"/>
  <c r="X73" i="6"/>
  <c r="X72" i="6"/>
  <c r="Q71" i="6"/>
  <c r="R69" i="6"/>
  <c r="Q41" i="6"/>
  <c r="K41" i="6"/>
  <c r="K40" i="6"/>
  <c r="X38" i="6"/>
  <c r="R38" i="6"/>
  <c r="R37" i="6"/>
  <c r="Q33" i="6"/>
  <c r="K33" i="6"/>
  <c r="K32" i="6"/>
  <c r="X30" i="6"/>
  <c r="R30" i="6"/>
  <c r="R29" i="6"/>
  <c r="K29" i="6"/>
  <c r="X9" i="6"/>
  <c r="J8" i="6"/>
  <c r="J31" i="6"/>
  <c r="J33" i="6"/>
  <c r="J35" i="6"/>
  <c r="J37" i="6"/>
  <c r="J39" i="6"/>
  <c r="J41" i="6"/>
  <c r="J43" i="6"/>
  <c r="J69" i="6"/>
  <c r="J71" i="6"/>
  <c r="J72" i="6"/>
  <c r="J73" i="6"/>
  <c r="J13" i="6"/>
  <c r="J15" i="6"/>
  <c r="Q73" i="6"/>
  <c r="Q72" i="6"/>
  <c r="X70" i="6"/>
  <c r="X44" i="6"/>
  <c r="R44" i="6"/>
  <c r="R43" i="6"/>
  <c r="J42" i="6"/>
  <c r="Q39" i="6"/>
  <c r="K39" i="6"/>
  <c r="K38" i="6"/>
  <c r="X36" i="6"/>
  <c r="R36" i="6"/>
  <c r="R35" i="6"/>
  <c r="J34" i="6"/>
  <c r="Q31" i="6"/>
  <c r="K31" i="6"/>
  <c r="K30" i="6"/>
  <c r="X28" i="6"/>
  <c r="R28" i="6"/>
  <c r="J28" i="6"/>
  <c r="Q27" i="6"/>
  <c r="K27" i="6"/>
  <c r="X26" i="6"/>
  <c r="R26" i="6"/>
  <c r="J26" i="6"/>
  <c r="Q25" i="6"/>
  <c r="K25" i="6"/>
  <c r="X24" i="6"/>
  <c r="R24" i="6"/>
  <c r="J24" i="6"/>
  <c r="Q23" i="6"/>
  <c r="K23" i="6"/>
  <c r="X22" i="6"/>
  <c r="R22" i="6"/>
  <c r="J22" i="6"/>
  <c r="Q21" i="6"/>
  <c r="K21" i="6"/>
  <c r="X20" i="6"/>
  <c r="R20" i="6"/>
  <c r="J20" i="6"/>
  <c r="Q19" i="6"/>
  <c r="K19" i="6"/>
  <c r="X18" i="6"/>
  <c r="R18" i="6"/>
  <c r="J18" i="6"/>
  <c r="Q17" i="6"/>
  <c r="K17" i="6"/>
  <c r="X16" i="6"/>
  <c r="R16" i="6"/>
  <c r="J14" i="6"/>
  <c r="J11" i="6"/>
  <c r="J9" i="6"/>
  <c r="J70" i="6"/>
  <c r="Q69" i="6"/>
  <c r="K69" i="6"/>
  <c r="K44" i="6"/>
  <c r="X42" i="6"/>
  <c r="R42" i="6"/>
  <c r="R41" i="6"/>
  <c r="J40" i="6"/>
  <c r="Q37" i="6"/>
  <c r="K36" i="6"/>
  <c r="X34" i="6"/>
  <c r="R34" i="6"/>
  <c r="R33" i="6"/>
  <c r="J32" i="6"/>
  <c r="Q29" i="6"/>
  <c r="J29" i="6"/>
  <c r="Q28" i="6"/>
  <c r="X27" i="6"/>
  <c r="J27" i="6"/>
  <c r="Q26" i="6"/>
  <c r="X25" i="6"/>
  <c r="J25" i="6"/>
  <c r="Q24" i="6"/>
  <c r="X23" i="6"/>
  <c r="J23" i="6"/>
  <c r="Q22" i="6"/>
  <c r="X21" i="6"/>
  <c r="J21" i="6"/>
  <c r="Q20" i="6"/>
  <c r="X19" i="6"/>
  <c r="J19" i="6"/>
  <c r="Q18" i="6"/>
  <c r="X17" i="6"/>
  <c r="J17" i="6"/>
  <c r="X14" i="6"/>
  <c r="R14" i="6"/>
  <c r="Y28" i="6"/>
  <c r="K28" i="6"/>
  <c r="R27" i="6"/>
  <c r="Y26" i="6"/>
  <c r="K26" i="6"/>
  <c r="R25" i="6"/>
  <c r="Y24" i="6"/>
  <c r="K24" i="6"/>
  <c r="R23" i="6"/>
  <c r="Y22" i="6"/>
  <c r="K22" i="6"/>
  <c r="R21" i="6"/>
  <c r="Y20" i="6"/>
  <c r="K20" i="6"/>
  <c r="R19" i="6"/>
  <c r="Y18" i="6"/>
  <c r="K18" i="6"/>
  <c r="R17" i="6"/>
  <c r="Y16" i="6"/>
  <c r="K16" i="6"/>
  <c r="R15" i="6"/>
  <c r="Y14" i="6"/>
  <c r="K14" i="6"/>
  <c r="K12" i="6"/>
  <c r="O9" i="6"/>
  <c r="B11" i="8"/>
  <c r="C11" i="8" s="1"/>
  <c r="X11" i="7" s="1"/>
  <c r="B48" i="8"/>
  <c r="C48" i="8" s="1"/>
  <c r="D48" i="8" s="1"/>
  <c r="E48" i="8" s="1"/>
  <c r="B34" i="8"/>
  <c r="C34" i="8" s="1"/>
  <c r="D34" i="8" s="1"/>
  <c r="E34" i="8" s="1"/>
  <c r="B45" i="8"/>
  <c r="C45" i="8" s="1"/>
  <c r="D45" i="8" s="1"/>
  <c r="E45" i="8" s="1"/>
  <c r="B27" i="8"/>
  <c r="C27" i="8" s="1"/>
  <c r="D27" i="8" s="1"/>
  <c r="E27" i="8" s="1"/>
  <c r="B55" i="8"/>
  <c r="B43" i="8"/>
  <c r="C43" i="8" s="1"/>
  <c r="D43" i="8" s="1"/>
  <c r="E43" i="8" s="1"/>
  <c r="B24" i="8"/>
  <c r="C24" i="8" s="1"/>
  <c r="D24" i="8" s="1"/>
  <c r="E24" i="8" s="1"/>
  <c r="B50" i="8"/>
  <c r="C50" i="8" s="1"/>
  <c r="D50" i="8" s="1"/>
  <c r="E50" i="8" s="1"/>
  <c r="B38" i="8"/>
  <c r="C38" i="8" s="1"/>
  <c r="D38" i="8" s="1"/>
  <c r="E38" i="8" s="1"/>
  <c r="B20" i="8"/>
  <c r="C20" i="8" s="1"/>
  <c r="D20" i="8" s="1"/>
  <c r="E20" i="8" s="1"/>
  <c r="G35" i="2"/>
  <c r="G38" i="2" s="1"/>
  <c r="R13" i="2"/>
  <c r="R16" i="2" s="1"/>
  <c r="E35" i="2"/>
  <c r="R35" i="2"/>
  <c r="R38" i="2" s="1"/>
  <c r="I13" i="2"/>
  <c r="I16" i="2" s="1"/>
  <c r="O35" i="2"/>
  <c r="O36" i="2" s="1"/>
  <c r="Q35" i="2"/>
  <c r="Q38" i="2" s="1"/>
  <c r="F35" i="2"/>
  <c r="F36" i="2" s="1"/>
  <c r="T35" i="2"/>
  <c r="T36" i="2" s="1"/>
  <c r="N35" i="2"/>
  <c r="D35" i="2"/>
  <c r="D13" i="2"/>
  <c r="S35" i="2"/>
  <c r="I35" i="2"/>
  <c r="H13" i="2"/>
  <c r="T13" i="2"/>
  <c r="O13" i="2"/>
  <c r="G13" i="2"/>
  <c r="P13" i="2"/>
  <c r="C13" i="2"/>
  <c r="P35" i="2"/>
  <c r="H35" i="2"/>
  <c r="C35" i="2"/>
  <c r="S13" i="2"/>
  <c r="N13" i="2"/>
  <c r="Q13" i="2"/>
  <c r="Q16" i="2" s="1"/>
  <c r="J13" i="2"/>
  <c r="J14" i="2" s="1"/>
  <c r="F13" i="2"/>
  <c r="F16" i="2" s="1"/>
  <c r="C64" i="17"/>
  <c r="E51" i="17"/>
  <c r="E50" i="17"/>
  <c r="Q50" i="17"/>
  <c r="AE99" i="17" s="1"/>
  <c r="B71" i="8"/>
  <c r="C71" i="8" s="1"/>
  <c r="D71" i="8" s="1"/>
  <c r="E71" i="8" s="1"/>
  <c r="B69" i="8"/>
  <c r="C69" i="8" s="1"/>
  <c r="D69" i="8" s="1"/>
  <c r="E69" i="8" s="1"/>
  <c r="B57" i="8"/>
  <c r="B56" i="8"/>
  <c r="B41" i="8"/>
  <c r="C41" i="8" s="1"/>
  <c r="D41" i="8" s="1"/>
  <c r="E41" i="8" s="1"/>
  <c r="I41" i="8" s="1"/>
  <c r="B37" i="8"/>
  <c r="C37" i="8" s="1"/>
  <c r="D37" i="8" s="1"/>
  <c r="E37" i="8" s="1"/>
  <c r="B33" i="8"/>
  <c r="C33" i="8" s="1"/>
  <c r="D33" i="8" s="1"/>
  <c r="E33" i="8" s="1"/>
  <c r="B30" i="8"/>
  <c r="C30" i="8" s="1"/>
  <c r="D30" i="8" s="1"/>
  <c r="E30" i="8" s="1"/>
  <c r="B23" i="8"/>
  <c r="C23" i="8" s="1"/>
  <c r="D23" i="8" s="1"/>
  <c r="E23" i="8" s="1"/>
  <c r="B19" i="8"/>
  <c r="C19" i="8" s="1"/>
  <c r="D19" i="8" s="1"/>
  <c r="E19" i="8" s="1"/>
  <c r="B60" i="8"/>
  <c r="B59" i="8"/>
  <c r="B36" i="8"/>
  <c r="C36" i="8" s="1"/>
  <c r="D36" i="8" s="1"/>
  <c r="E36" i="8" s="1"/>
  <c r="B32" i="8"/>
  <c r="C32" i="8" s="1"/>
  <c r="D32" i="8" s="1"/>
  <c r="E32" i="8" s="1"/>
  <c r="B29" i="8"/>
  <c r="C29" i="8" s="1"/>
  <c r="D29" i="8" s="1"/>
  <c r="E29" i="8" s="1"/>
  <c r="B26" i="8"/>
  <c r="C26" i="8" s="1"/>
  <c r="D26" i="8" s="1"/>
  <c r="E26" i="8" s="1"/>
  <c r="B22" i="8"/>
  <c r="C22" i="8" s="1"/>
  <c r="D22" i="8" s="1"/>
  <c r="E22" i="8" s="1"/>
  <c r="B17" i="8"/>
  <c r="C17" i="8" s="1"/>
  <c r="D17" i="8" s="1"/>
  <c r="E17" i="8" s="1"/>
  <c r="B73" i="8"/>
  <c r="C73" i="8" s="1"/>
  <c r="D73" i="8" s="1"/>
  <c r="E73" i="8" s="1"/>
  <c r="B70" i="8"/>
  <c r="C70" i="8" s="1"/>
  <c r="D70" i="8" s="1"/>
  <c r="E70" i="8" s="1"/>
  <c r="B62" i="8"/>
  <c r="B61" i="8"/>
  <c r="B51" i="8"/>
  <c r="C51" i="8" s="1"/>
  <c r="D51" i="8" s="1"/>
  <c r="E51" i="8" s="1"/>
  <c r="B49" i="8"/>
  <c r="C49" i="8" s="1"/>
  <c r="D49" i="8" s="1"/>
  <c r="E49" i="8" s="1"/>
  <c r="B47" i="8"/>
  <c r="C47" i="8" s="1"/>
  <c r="D47" i="8" s="1"/>
  <c r="E47" i="8" s="1"/>
  <c r="B44" i="8"/>
  <c r="C44" i="8" s="1"/>
  <c r="D44" i="8" s="1"/>
  <c r="E44" i="8" s="1"/>
  <c r="B40" i="8"/>
  <c r="C40" i="8" s="1"/>
  <c r="D40" i="8" s="1"/>
  <c r="E40" i="8" s="1"/>
  <c r="B31" i="8"/>
  <c r="C31" i="8" s="1"/>
  <c r="D31" i="8" s="1"/>
  <c r="E31" i="8" s="1"/>
  <c r="B28" i="8"/>
  <c r="C28" i="8" s="1"/>
  <c r="D28" i="8" s="1"/>
  <c r="E28" i="8" s="1"/>
  <c r="B25" i="8"/>
  <c r="C25" i="8" s="1"/>
  <c r="D25" i="8" s="1"/>
  <c r="E25" i="8" s="1"/>
  <c r="B21" i="8"/>
  <c r="C21" i="8" s="1"/>
  <c r="D21" i="8" s="1"/>
  <c r="E21" i="8" s="1"/>
  <c r="P57" i="17"/>
  <c r="AD104" i="17" s="1"/>
  <c r="L57" i="17"/>
  <c r="Z104" i="17" s="1"/>
  <c r="H57" i="17"/>
  <c r="F52" i="17"/>
  <c r="G53" i="17"/>
  <c r="H54" i="17"/>
  <c r="M50" i="17"/>
  <c r="AA99" i="17" s="1"/>
  <c r="F50" i="17"/>
  <c r="S57" i="17"/>
  <c r="AG104" i="17" s="1"/>
  <c r="O57" i="17"/>
  <c r="K57" i="17"/>
  <c r="G57" i="17"/>
  <c r="E58" i="17"/>
  <c r="F59" i="17"/>
  <c r="G60" i="17"/>
  <c r="H61" i="17"/>
  <c r="G29" i="9"/>
  <c r="G27" i="9"/>
  <c r="G26" i="9" s="1"/>
  <c r="G19" i="9"/>
  <c r="G28" i="9"/>
  <c r="C10" i="1"/>
  <c r="C25" i="1"/>
  <c r="D37" i="14"/>
  <c r="I11" i="6"/>
  <c r="H8" i="6"/>
  <c r="R13" i="6"/>
  <c r="R11" i="6"/>
  <c r="K11" i="6"/>
  <c r="O8" i="6"/>
  <c r="V9" i="6"/>
  <c r="V8" i="6"/>
  <c r="V10" i="6"/>
  <c r="H10" i="6"/>
  <c r="H9" i="6"/>
  <c r="J36" i="2"/>
  <c r="C78" i="17"/>
  <c r="C57" i="17"/>
  <c r="C71" i="17"/>
  <c r="J12" i="6"/>
  <c r="Q11" i="6"/>
  <c r="X10" i="6"/>
  <c r="O10" i="6"/>
  <c r="J10" i="6"/>
  <c r="C50" i="17"/>
  <c r="K64" i="8"/>
  <c r="L64" i="8" s="1"/>
  <c r="M64" i="8" s="1"/>
  <c r="K61" i="8"/>
  <c r="L61" i="8" s="1"/>
  <c r="M61" i="8" s="1"/>
  <c r="K59" i="8"/>
  <c r="L59" i="8" s="1"/>
  <c r="M59" i="8" s="1"/>
  <c r="K56" i="8"/>
  <c r="L56" i="8" s="1"/>
  <c r="M56" i="8" s="1"/>
  <c r="K65" i="8"/>
  <c r="L65" i="8" s="1"/>
  <c r="M65" i="8" s="1"/>
  <c r="K62" i="8"/>
  <c r="L62" i="8" s="1"/>
  <c r="M62" i="8" s="1"/>
  <c r="K60" i="8"/>
  <c r="L60" i="8" s="1"/>
  <c r="M60" i="8" s="1"/>
  <c r="K57" i="8"/>
  <c r="L57" i="8" s="1"/>
  <c r="M57" i="8" s="1"/>
  <c r="K55" i="8"/>
  <c r="L55" i="8" s="1"/>
  <c r="M55" i="8" s="1"/>
  <c r="AB17" i="9"/>
  <c r="AF17" i="9"/>
  <c r="AJ17" i="9"/>
  <c r="AC17" i="9"/>
  <c r="AG17" i="9"/>
  <c r="AK17" i="9"/>
  <c r="AA16" i="9"/>
  <c r="AE16" i="9"/>
  <c r="AI16" i="9"/>
  <c r="AB16" i="9"/>
  <c r="AF16" i="9"/>
  <c r="AJ16" i="9"/>
  <c r="AC16" i="9"/>
  <c r="AG16" i="9"/>
  <c r="AK16" i="9"/>
  <c r="AK26" i="9"/>
  <c r="AG26" i="9"/>
  <c r="AC26" i="9"/>
  <c r="Y26" i="9"/>
  <c r="U26" i="9"/>
  <c r="Q26" i="9"/>
  <c r="AE17" i="9"/>
  <c r="AJ26" i="9"/>
  <c r="AF26" i="9"/>
  <c r="AB26" i="9"/>
  <c r="X26" i="9"/>
  <c r="T26" i="9"/>
  <c r="P26" i="9"/>
  <c r="Y23" i="9"/>
  <c r="U23" i="9"/>
  <c r="Q23" i="9"/>
  <c r="AD17" i="9"/>
  <c r="AH16" i="9"/>
  <c r="E2" i="9"/>
  <c r="I2" i="9"/>
  <c r="B2" i="9"/>
  <c r="F2" i="9"/>
  <c r="J2" i="9"/>
  <c r="G3" i="9"/>
  <c r="H2" i="9"/>
  <c r="G4" i="9"/>
  <c r="G11" i="9"/>
  <c r="G17" i="9"/>
  <c r="C2" i="9"/>
  <c r="C12" i="9" s="1"/>
  <c r="K2" i="9"/>
  <c r="G8" i="9"/>
  <c r="G16" i="9"/>
  <c r="D2" i="9"/>
  <c r="L2" i="9"/>
  <c r="C9" i="8"/>
  <c r="X9" i="7" s="1"/>
  <c r="I9" i="7" s="1"/>
  <c r="AI26" i="9"/>
  <c r="AE26" i="9"/>
  <c r="W26" i="9"/>
  <c r="S26" i="9"/>
  <c r="AK24" i="9"/>
  <c r="AG24" i="9"/>
  <c r="Y24" i="9"/>
  <c r="U24" i="9"/>
  <c r="X23" i="9"/>
  <c r="T23" i="9"/>
  <c r="AI17" i="9"/>
  <c r="AA17" i="9"/>
  <c r="AD16" i="9"/>
  <c r="O16" i="9"/>
  <c r="S16" i="9"/>
  <c r="W16" i="9"/>
  <c r="P16" i="9"/>
  <c r="T16" i="9"/>
  <c r="X16" i="9"/>
  <c r="Q16" i="9"/>
  <c r="U16" i="9"/>
  <c r="Y16" i="9"/>
  <c r="AJ14" i="9"/>
  <c r="AF14" i="9"/>
  <c r="X14" i="9"/>
  <c r="T14" i="9"/>
  <c r="AK4" i="9"/>
  <c r="AG4" i="9"/>
  <c r="Y17" i="9"/>
  <c r="U17" i="9"/>
  <c r="Q17" i="9"/>
  <c r="AA4" i="9"/>
  <c r="AE4" i="9"/>
  <c r="X17" i="9"/>
  <c r="T17" i="9"/>
  <c r="AI4" i="9"/>
  <c r="AD4" i="9"/>
  <c r="W4" i="9"/>
  <c r="S4" i="9"/>
  <c r="E14" i="2" l="1"/>
  <c r="E16" i="2"/>
  <c r="AN16" i="2"/>
  <c r="AN14" i="2"/>
  <c r="AM14" i="2"/>
  <c r="AM16" i="2"/>
  <c r="AL14" i="2"/>
  <c r="AL16" i="2"/>
  <c r="AJ14" i="2"/>
  <c r="AJ16" i="2"/>
  <c r="AI16" i="2"/>
  <c r="AI14" i="2"/>
  <c r="AH16" i="2"/>
  <c r="AH14" i="2"/>
  <c r="AK14" i="2"/>
  <c r="AK16" i="2"/>
  <c r="AN38" i="2"/>
  <c r="AN36" i="2"/>
  <c r="AL36" i="2"/>
  <c r="AL38" i="2"/>
  <c r="AK36" i="2"/>
  <c r="AK38" i="2"/>
  <c r="AJ38" i="2"/>
  <c r="AJ36" i="2"/>
  <c r="AI38" i="2"/>
  <c r="AI36" i="2"/>
  <c r="AH36" i="2"/>
  <c r="AH38" i="2"/>
  <c r="AM36" i="2"/>
  <c r="AM38" i="2"/>
  <c r="AF15" i="9"/>
  <c r="E15" i="9"/>
  <c r="AD15" i="9" s="1"/>
  <c r="E12" i="9"/>
  <c r="R12" i="9" s="1"/>
  <c r="J15" i="9"/>
  <c r="W15" i="9" s="1"/>
  <c r="J12" i="9"/>
  <c r="AI12" i="9" s="1"/>
  <c r="F15" i="9"/>
  <c r="S15" i="9" s="1"/>
  <c r="F12" i="9"/>
  <c r="AE12" i="9" s="1"/>
  <c r="D15" i="9"/>
  <c r="AC15" i="9" s="1"/>
  <c r="D12" i="9"/>
  <c r="AC12" i="9" s="1"/>
  <c r="K15" i="9"/>
  <c r="K12" i="9"/>
  <c r="AJ12" i="9" s="1"/>
  <c r="B15" i="9"/>
  <c r="AA15" i="9" s="1"/>
  <c r="B12" i="9"/>
  <c r="O12" i="9" s="1"/>
  <c r="L15" i="9"/>
  <c r="AK15" i="9" s="1"/>
  <c r="L12" i="9"/>
  <c r="Y12" i="9" s="1"/>
  <c r="H15" i="9"/>
  <c r="U15" i="9" s="1"/>
  <c r="H12" i="9"/>
  <c r="AG12" i="9" s="1"/>
  <c r="I15" i="9"/>
  <c r="AH15" i="9" s="1"/>
  <c r="I12" i="9"/>
  <c r="AH12" i="9" s="1"/>
  <c r="R15" i="9"/>
  <c r="AJ15" i="9"/>
  <c r="X15" i="9"/>
  <c r="C15" i="9"/>
  <c r="L60" i="6"/>
  <c r="S62" i="6"/>
  <c r="Z62" i="6"/>
  <c r="S39" i="6"/>
  <c r="S61" i="6"/>
  <c r="L51" i="6"/>
  <c r="S59" i="6"/>
  <c r="Z61" i="6"/>
  <c r="Z58" i="6"/>
  <c r="S60" i="6"/>
  <c r="D89" i="17"/>
  <c r="V114" i="17" s="1"/>
  <c r="W51" i="16" s="1"/>
  <c r="W51" i="18" s="1"/>
  <c r="Z11" i="6"/>
  <c r="L57" i="6"/>
  <c r="T21" i="9"/>
  <c r="Z57" i="6"/>
  <c r="Z59" i="6"/>
  <c r="Z60" i="6"/>
  <c r="L61" i="6"/>
  <c r="T6" i="9"/>
  <c r="AF6" i="9"/>
  <c r="L21" i="9"/>
  <c r="Y21" i="9" s="1"/>
  <c r="L6" i="9"/>
  <c r="F21" i="9"/>
  <c r="AE21" i="9" s="1"/>
  <c r="F6" i="9"/>
  <c r="C21" i="9"/>
  <c r="P21" i="9" s="1"/>
  <c r="C6" i="9"/>
  <c r="H21" i="9"/>
  <c r="U21" i="9" s="1"/>
  <c r="H6" i="9"/>
  <c r="J21" i="9"/>
  <c r="AI21" i="9" s="1"/>
  <c r="J6" i="9"/>
  <c r="E21" i="9"/>
  <c r="R21" i="9" s="1"/>
  <c r="E6" i="9"/>
  <c r="K21" i="9"/>
  <c r="AJ21" i="9" s="1"/>
  <c r="K6" i="9"/>
  <c r="D21" i="9"/>
  <c r="AC21" i="9" s="1"/>
  <c r="D6" i="9"/>
  <c r="I21" i="9"/>
  <c r="V21" i="9" s="1"/>
  <c r="I6" i="9"/>
  <c r="B5" i="9"/>
  <c r="O5" i="9" s="1"/>
  <c r="B6" i="9"/>
  <c r="D15" i="8"/>
  <c r="E15" i="8" s="1"/>
  <c r="L59" i="6"/>
  <c r="S57" i="6"/>
  <c r="L58" i="6"/>
  <c r="Z56" i="6"/>
  <c r="S58" i="6"/>
  <c r="L35" i="6"/>
  <c r="S56" i="6"/>
  <c r="Z36" i="6"/>
  <c r="Z52" i="6"/>
  <c r="S55" i="6"/>
  <c r="Z15" i="6"/>
  <c r="S45" i="6"/>
  <c r="Z38" i="6"/>
  <c r="Z53" i="6"/>
  <c r="Z55" i="6"/>
  <c r="L53" i="6"/>
  <c r="AA36" i="2"/>
  <c r="AA38" i="2"/>
  <c r="AD38" i="2"/>
  <c r="AD36" i="2"/>
  <c r="AB36" i="2"/>
  <c r="AB38" i="2"/>
  <c r="AC36" i="2"/>
  <c r="AC38" i="2"/>
  <c r="X38" i="2"/>
  <c r="X36" i="2"/>
  <c r="Y36" i="2"/>
  <c r="Y38" i="2"/>
  <c r="Z38" i="2"/>
  <c r="Z36" i="2"/>
  <c r="AD16" i="2"/>
  <c r="AD14" i="2"/>
  <c r="AC14" i="2"/>
  <c r="AC16" i="2"/>
  <c r="AB16" i="2"/>
  <c r="AB14" i="2"/>
  <c r="AA14" i="2"/>
  <c r="AA16" i="2"/>
  <c r="Z14" i="2"/>
  <c r="Z16" i="2"/>
  <c r="Y16" i="2"/>
  <c r="Y14" i="2"/>
  <c r="X14" i="2"/>
  <c r="Z15" i="2" s="1"/>
  <c r="X16" i="2"/>
  <c r="Z17" i="2" s="1"/>
  <c r="L56" i="6"/>
  <c r="S54" i="6"/>
  <c r="L55" i="6"/>
  <c r="S31" i="6"/>
  <c r="S43" i="6"/>
  <c r="L54" i="6"/>
  <c r="S53" i="6"/>
  <c r="S52" i="6"/>
  <c r="S51" i="6"/>
  <c r="G72" i="6"/>
  <c r="H72" i="6" s="1"/>
  <c r="I72" i="6" s="1"/>
  <c r="K70" i="6"/>
  <c r="Z51" i="6"/>
  <c r="L52" i="6"/>
  <c r="B18" i="9"/>
  <c r="B21" i="9"/>
  <c r="AF18" i="9"/>
  <c r="T18" i="9"/>
  <c r="D5" i="9"/>
  <c r="Q5" i="9" s="1"/>
  <c r="D18" i="9"/>
  <c r="C5" i="9"/>
  <c r="P5" i="9" s="1"/>
  <c r="C18" i="9"/>
  <c r="E5" i="9"/>
  <c r="R5" i="9" s="1"/>
  <c r="E18" i="9"/>
  <c r="F5" i="9"/>
  <c r="S5" i="9" s="1"/>
  <c r="F18" i="9"/>
  <c r="H5" i="9"/>
  <c r="U5" i="9" s="1"/>
  <c r="H18" i="9"/>
  <c r="I5" i="9"/>
  <c r="V5" i="9" s="1"/>
  <c r="I18" i="9"/>
  <c r="J5" i="9"/>
  <c r="W5" i="9" s="1"/>
  <c r="J18" i="9"/>
  <c r="L5" i="9"/>
  <c r="AK5" i="9" s="1"/>
  <c r="L18" i="9"/>
  <c r="K5" i="9"/>
  <c r="X5" i="9" s="1"/>
  <c r="K18" i="9"/>
  <c r="AF5" i="9"/>
  <c r="B29" i="9"/>
  <c r="B23" i="9"/>
  <c r="B28" i="9"/>
  <c r="T12" i="9"/>
  <c r="B17" i="9"/>
  <c r="B19" i="9"/>
  <c r="B16" i="9"/>
  <c r="B11" i="9"/>
  <c r="B3" i="9"/>
  <c r="B4" i="9"/>
  <c r="AB12" i="9"/>
  <c r="B20" i="9"/>
  <c r="O20" i="9" s="1"/>
  <c r="B22" i="9"/>
  <c r="S50" i="6"/>
  <c r="S47" i="6"/>
  <c r="Z50" i="6"/>
  <c r="V70" i="6"/>
  <c r="U73" i="6" s="1"/>
  <c r="I70" i="6"/>
  <c r="G71" i="6"/>
  <c r="H71" i="6" s="1"/>
  <c r="I71" i="6" s="1"/>
  <c r="O70" i="6"/>
  <c r="P70" i="6" s="1"/>
  <c r="S46" i="6"/>
  <c r="Z49" i="6"/>
  <c r="Z48" i="6"/>
  <c r="L49" i="6"/>
  <c r="Z46" i="6"/>
  <c r="L48" i="6"/>
  <c r="S49" i="6"/>
  <c r="L50" i="6"/>
  <c r="L46" i="6"/>
  <c r="Z47" i="6"/>
  <c r="T22" i="9"/>
  <c r="S48" i="6"/>
  <c r="Z45" i="6"/>
  <c r="L47" i="6"/>
  <c r="AF22" i="9"/>
  <c r="AF23" i="9" s="1"/>
  <c r="T20" i="9"/>
  <c r="AF20" i="9"/>
  <c r="D22" i="9"/>
  <c r="D20" i="9"/>
  <c r="C22" i="9"/>
  <c r="C20" i="9"/>
  <c r="H22" i="9"/>
  <c r="U22" i="9" s="1"/>
  <c r="H20" i="9"/>
  <c r="I22" i="9"/>
  <c r="V22" i="9" s="1"/>
  <c r="I20" i="9"/>
  <c r="J22" i="9"/>
  <c r="J20" i="9"/>
  <c r="E22" i="9"/>
  <c r="E20" i="9"/>
  <c r="L22" i="9"/>
  <c r="Y22" i="9" s="1"/>
  <c r="L20" i="9"/>
  <c r="K22" i="9"/>
  <c r="X22" i="9" s="1"/>
  <c r="K20" i="9"/>
  <c r="F22" i="9"/>
  <c r="S22" i="9" s="1"/>
  <c r="F20" i="9"/>
  <c r="D71" i="17"/>
  <c r="D64" i="17"/>
  <c r="S119" i="17" s="1"/>
  <c r="J53" i="16" s="1"/>
  <c r="J53" i="18" s="1"/>
  <c r="D85" i="17"/>
  <c r="V94" i="17" s="1"/>
  <c r="D78" i="17"/>
  <c r="D75" i="17"/>
  <c r="T114" i="17" s="1"/>
  <c r="R51" i="16" s="1"/>
  <c r="R51" i="18" s="1"/>
  <c r="D82" i="17"/>
  <c r="U114" i="17" s="1"/>
  <c r="V51" i="16" s="1"/>
  <c r="V51" i="18" s="1"/>
  <c r="C114" i="17"/>
  <c r="V115" i="17" s="1"/>
  <c r="V116" i="17" s="1"/>
  <c r="C64" i="8"/>
  <c r="D64" i="8" s="1"/>
  <c r="E64" i="8" s="1"/>
  <c r="F64" i="8" s="1"/>
  <c r="C65" i="8"/>
  <c r="D65" i="8" s="1"/>
  <c r="E65" i="8" s="1"/>
  <c r="F65" i="8" s="1"/>
  <c r="C61" i="8"/>
  <c r="D61" i="8" s="1"/>
  <c r="E61" i="8" s="1"/>
  <c r="F61" i="8" s="1"/>
  <c r="C62" i="8"/>
  <c r="D62" i="8" s="1"/>
  <c r="E62" i="8" s="1"/>
  <c r="F62" i="8" s="1"/>
  <c r="C60" i="8"/>
  <c r="D60" i="8" s="1"/>
  <c r="E60" i="8" s="1"/>
  <c r="F60" i="8" s="1"/>
  <c r="C59" i="8"/>
  <c r="D59" i="8" s="1"/>
  <c r="E59" i="8" s="1"/>
  <c r="F59" i="8" s="1"/>
  <c r="C56" i="8"/>
  <c r="D56" i="8" s="1"/>
  <c r="E56" i="8" s="1"/>
  <c r="F56" i="8" s="1"/>
  <c r="C57" i="8"/>
  <c r="D57" i="8" s="1"/>
  <c r="E57" i="8" s="1"/>
  <c r="F57" i="8" s="1"/>
  <c r="C55" i="8"/>
  <c r="D55" i="8" s="1"/>
  <c r="E55" i="8" s="1"/>
  <c r="F55" i="8" s="1"/>
  <c r="Y9" i="7"/>
  <c r="X41" i="7"/>
  <c r="I41" i="7" s="1"/>
  <c r="Y41" i="7" s="1"/>
  <c r="K85" i="10"/>
  <c r="S29" i="6"/>
  <c r="L45" i="6"/>
  <c r="Z69" i="6"/>
  <c r="L17" i="6"/>
  <c r="L25" i="6"/>
  <c r="S37" i="6"/>
  <c r="L29" i="6"/>
  <c r="D68" i="17"/>
  <c r="S114" i="17" s="1"/>
  <c r="Q51" i="16" s="1"/>
  <c r="Q51" i="18" s="1"/>
  <c r="D73" i="17"/>
  <c r="T104" i="17" s="1"/>
  <c r="R49" i="16" s="1"/>
  <c r="R49" i="18" s="1"/>
  <c r="D72" i="17"/>
  <c r="T99" i="17" s="1"/>
  <c r="R48" i="16" s="1"/>
  <c r="R48" i="18" s="1"/>
  <c r="D86" i="17"/>
  <c r="V99" i="17" s="1"/>
  <c r="W48" i="16" s="1"/>
  <c r="W48" i="18" s="1"/>
  <c r="D66" i="17"/>
  <c r="S104" i="17" s="1"/>
  <c r="Q49" i="16" s="1"/>
  <c r="Q49" i="18" s="1"/>
  <c r="D88" i="17"/>
  <c r="V109" i="17" s="1"/>
  <c r="W50" i="16" s="1"/>
  <c r="W50" i="18" s="1"/>
  <c r="D54" i="17"/>
  <c r="D134" i="17" s="1"/>
  <c r="Q56" i="16" s="1"/>
  <c r="Q56" i="18" s="1"/>
  <c r="D80" i="17"/>
  <c r="U104" i="17" s="1"/>
  <c r="V49" i="16" s="1"/>
  <c r="V49" i="18" s="1"/>
  <c r="C109" i="17"/>
  <c r="E50" i="16" s="1"/>
  <c r="E50" i="18" s="1"/>
  <c r="D67" i="17"/>
  <c r="S109" i="17" s="1"/>
  <c r="Q50" i="16" s="1"/>
  <c r="Q50" i="18" s="1"/>
  <c r="D74" i="17"/>
  <c r="T109" i="17" s="1"/>
  <c r="R50" i="16" s="1"/>
  <c r="R50" i="18" s="1"/>
  <c r="D81" i="17"/>
  <c r="U109" i="17" s="1"/>
  <c r="V50" i="16" s="1"/>
  <c r="V50" i="18" s="1"/>
  <c r="D61" i="17"/>
  <c r="E134" i="17" s="1"/>
  <c r="R56" i="16" s="1"/>
  <c r="R56" i="18" s="1"/>
  <c r="C134" i="17"/>
  <c r="G135" i="17" s="1"/>
  <c r="G136" i="17" s="1"/>
  <c r="D60" i="17"/>
  <c r="E129" i="17" s="1"/>
  <c r="R55" i="16" s="1"/>
  <c r="R55" i="18" s="1"/>
  <c r="D53" i="17"/>
  <c r="D129" i="17" s="1"/>
  <c r="Q55" i="16" s="1"/>
  <c r="Q55" i="18" s="1"/>
  <c r="D52" i="17"/>
  <c r="D124" i="17" s="1"/>
  <c r="Q54" i="16" s="1"/>
  <c r="Q54" i="18" s="1"/>
  <c r="P94" i="17"/>
  <c r="I94" i="17"/>
  <c r="D58" i="17"/>
  <c r="E119" i="17" s="1"/>
  <c r="R53" i="16" s="1"/>
  <c r="R53" i="18" s="1"/>
  <c r="D51" i="17"/>
  <c r="D119" i="17" s="1"/>
  <c r="Q53" i="16" s="1"/>
  <c r="Q53" i="18" s="1"/>
  <c r="D59" i="17"/>
  <c r="E124" i="17" s="1"/>
  <c r="R54" i="16" s="1"/>
  <c r="R54" i="18" s="1"/>
  <c r="L94" i="17"/>
  <c r="S99" i="17"/>
  <c r="Q48" i="16" s="1"/>
  <c r="Q48" i="18" s="1"/>
  <c r="W94" i="17"/>
  <c r="V104" i="17"/>
  <c r="W49" i="16" s="1"/>
  <c r="W49" i="18" s="1"/>
  <c r="M94" i="17"/>
  <c r="Z56" i="16"/>
  <c r="Z56" i="18" s="1"/>
  <c r="U99" i="17"/>
  <c r="V48" i="16" s="1"/>
  <c r="V48" i="18" s="1"/>
  <c r="AB94" i="17"/>
  <c r="X94" i="17"/>
  <c r="H94" i="17"/>
  <c r="Y94" i="17"/>
  <c r="Q94" i="17"/>
  <c r="Z55" i="16"/>
  <c r="Z55" i="18" s="1"/>
  <c r="AE94" i="17"/>
  <c r="AC94" i="17"/>
  <c r="AF94" i="17"/>
  <c r="G114" i="17"/>
  <c r="P51" i="16" s="1"/>
  <c r="P51" i="18" s="1"/>
  <c r="F94" i="17"/>
  <c r="F124" i="17"/>
  <c r="V54" i="16" s="1"/>
  <c r="V54" i="18" s="1"/>
  <c r="R94" i="17"/>
  <c r="R124" i="17"/>
  <c r="F109" i="17"/>
  <c r="O50" i="16" s="1"/>
  <c r="O50" i="18" s="1"/>
  <c r="K119" i="17"/>
  <c r="K94" i="17"/>
  <c r="J94" i="17"/>
  <c r="J124" i="17"/>
  <c r="G94" i="17"/>
  <c r="G119" i="17"/>
  <c r="W53" i="16" s="1"/>
  <c r="W53" i="18" s="1"/>
  <c r="O94" i="17"/>
  <c r="O119" i="17"/>
  <c r="N94" i="17"/>
  <c r="N124" i="17"/>
  <c r="S15" i="6"/>
  <c r="C23" i="14"/>
  <c r="C8" i="14"/>
  <c r="S32" i="6"/>
  <c r="S23" i="6"/>
  <c r="S19" i="6"/>
  <c r="S27" i="6"/>
  <c r="Z37" i="6"/>
  <c r="Z29" i="6"/>
  <c r="Z40" i="6"/>
  <c r="Z13" i="6"/>
  <c r="Z19" i="6"/>
  <c r="Z27" i="6"/>
  <c r="Z18" i="6"/>
  <c r="S40" i="6"/>
  <c r="S35" i="6"/>
  <c r="L13" i="6"/>
  <c r="L42" i="6"/>
  <c r="L18" i="6"/>
  <c r="L26" i="6"/>
  <c r="L36" i="6"/>
  <c r="L38" i="6"/>
  <c r="L34" i="6"/>
  <c r="L19" i="6"/>
  <c r="Z21" i="6"/>
  <c r="S24" i="6"/>
  <c r="L27" i="6"/>
  <c r="Z34" i="6"/>
  <c r="S41" i="6"/>
  <c r="Z44" i="6"/>
  <c r="L15" i="6"/>
  <c r="Z41" i="6"/>
  <c r="Z32" i="6"/>
  <c r="L21" i="6"/>
  <c r="L39" i="6"/>
  <c r="L43" i="6"/>
  <c r="L11" i="6"/>
  <c r="Z26" i="6"/>
  <c r="Z30" i="6"/>
  <c r="Z42" i="6"/>
  <c r="L12" i="6"/>
  <c r="S13" i="6"/>
  <c r="N9" i="6"/>
  <c r="R9" i="6" s="1"/>
  <c r="Z17" i="6"/>
  <c r="S20" i="6"/>
  <c r="Z25" i="6"/>
  <c r="S28" i="6"/>
  <c r="L22" i="6"/>
  <c r="L40" i="6"/>
  <c r="L44" i="6"/>
  <c r="Z14" i="6"/>
  <c r="S18" i="6"/>
  <c r="L20" i="6"/>
  <c r="S21" i="6"/>
  <c r="L23" i="6"/>
  <c r="S26" i="6"/>
  <c r="L28" i="6"/>
  <c r="S69" i="6"/>
  <c r="S16" i="6"/>
  <c r="S12" i="6"/>
  <c r="Z33" i="6"/>
  <c r="L16" i="6"/>
  <c r="Z23" i="6"/>
  <c r="L30" i="6"/>
  <c r="S11" i="6"/>
  <c r="Z16" i="6"/>
  <c r="Z24" i="6"/>
  <c r="S17" i="6"/>
  <c r="S22" i="6"/>
  <c r="L24" i="6"/>
  <c r="S25" i="6"/>
  <c r="L14" i="6"/>
  <c r="Z20" i="6"/>
  <c r="Z28" i="6"/>
  <c r="Z22" i="6"/>
  <c r="L41" i="6"/>
  <c r="L33" i="6"/>
  <c r="L32" i="6"/>
  <c r="Z43" i="6"/>
  <c r="Z35" i="6"/>
  <c r="Z12" i="6"/>
  <c r="L37" i="6"/>
  <c r="S33" i="6"/>
  <c r="S14" i="6"/>
  <c r="S42" i="6"/>
  <c r="S34" i="6"/>
  <c r="Z39" i="6"/>
  <c r="Z31" i="6"/>
  <c r="L31" i="6"/>
  <c r="S38" i="6"/>
  <c r="S30" i="6"/>
  <c r="L69" i="6"/>
  <c r="S44" i="6"/>
  <c r="S36" i="6"/>
  <c r="Q36" i="2"/>
  <c r="G36" i="2"/>
  <c r="R14" i="2"/>
  <c r="Q14" i="2"/>
  <c r="T38" i="2"/>
  <c r="R36" i="2"/>
  <c r="O38" i="2"/>
  <c r="E38" i="2"/>
  <c r="E36" i="2"/>
  <c r="F38" i="2"/>
  <c r="I14" i="2"/>
  <c r="J16" i="2"/>
  <c r="D38" i="2"/>
  <c r="D36" i="2"/>
  <c r="I36" i="2"/>
  <c r="I38" i="2"/>
  <c r="N38" i="2"/>
  <c r="N36" i="2"/>
  <c r="S38" i="2"/>
  <c r="S36" i="2"/>
  <c r="D16" i="2"/>
  <c r="D14" i="2"/>
  <c r="F14" i="2"/>
  <c r="H36" i="2"/>
  <c r="H38" i="2"/>
  <c r="C16" i="2"/>
  <c r="C14" i="2"/>
  <c r="G16" i="2"/>
  <c r="G14" i="2"/>
  <c r="S14" i="2"/>
  <c r="S16" i="2"/>
  <c r="T14" i="2"/>
  <c r="T16" i="2"/>
  <c r="C38" i="2"/>
  <c r="E39" i="2" s="1"/>
  <c r="C36" i="2"/>
  <c r="E37" i="2" s="1"/>
  <c r="H16" i="2"/>
  <c r="H14" i="2"/>
  <c r="N14" i="2"/>
  <c r="N16" i="2"/>
  <c r="P36" i="2"/>
  <c r="P38" i="2"/>
  <c r="P14" i="2"/>
  <c r="P16" i="2"/>
  <c r="O16" i="2"/>
  <c r="O14" i="2"/>
  <c r="C119" i="17"/>
  <c r="Q120" i="17" s="1"/>
  <c r="Q121" i="17" s="1"/>
  <c r="X48" i="16"/>
  <c r="X48" i="18" s="1"/>
  <c r="Y104" i="17"/>
  <c r="AG94" i="17"/>
  <c r="Z94" i="17"/>
  <c r="AD94" i="17"/>
  <c r="AC104" i="17"/>
  <c r="AA94" i="17"/>
  <c r="E56" i="11"/>
  <c r="G25" i="9"/>
  <c r="G24" i="9"/>
  <c r="E54" i="11"/>
  <c r="G9" i="10" s="1"/>
  <c r="G8" i="15" s="1"/>
  <c r="H19" i="9"/>
  <c r="H3" i="9"/>
  <c r="H4" i="9"/>
  <c r="H11" i="9"/>
  <c r="H17" i="9"/>
  <c r="H8" i="9"/>
  <c r="H16" i="9"/>
  <c r="H23" i="9"/>
  <c r="H27" i="9"/>
  <c r="H28" i="9"/>
  <c r="H29" i="9"/>
  <c r="B8" i="9"/>
  <c r="B27" i="9"/>
  <c r="C129" i="17"/>
  <c r="G9" i="6"/>
  <c r="L9" i="6" s="1"/>
  <c r="U10" i="6"/>
  <c r="Y10" i="6" s="1"/>
  <c r="AF16" i="11"/>
  <c r="AF53" i="11"/>
  <c r="G7" i="9"/>
  <c r="G13" i="9"/>
  <c r="G9" i="9"/>
  <c r="G14" i="9"/>
  <c r="G10" i="9"/>
  <c r="I4" i="9"/>
  <c r="I19" i="9"/>
  <c r="I3" i="9"/>
  <c r="I11" i="9"/>
  <c r="I17" i="9"/>
  <c r="I8" i="9"/>
  <c r="I29" i="9"/>
  <c r="I23" i="9"/>
  <c r="I27" i="9"/>
  <c r="I16" i="9"/>
  <c r="I28" i="9"/>
  <c r="D50" i="17"/>
  <c r="C94" i="17"/>
  <c r="C99" i="17"/>
  <c r="N10" i="6"/>
  <c r="R10" i="6" s="1"/>
  <c r="C124" i="17"/>
  <c r="U8" i="6"/>
  <c r="Y8" i="6" s="1"/>
  <c r="G8" i="6"/>
  <c r="K8" i="6" s="1"/>
  <c r="L19" i="9"/>
  <c r="L11" i="9"/>
  <c r="L17" i="9"/>
  <c r="L8" i="9"/>
  <c r="L16" i="9"/>
  <c r="L23" i="9"/>
  <c r="L27" i="9"/>
  <c r="L28" i="9"/>
  <c r="L3" i="9"/>
  <c r="L4" i="9"/>
  <c r="L29" i="9"/>
  <c r="J3" i="9"/>
  <c r="J4" i="9"/>
  <c r="J8" i="9"/>
  <c r="J16" i="9"/>
  <c r="J17" i="9"/>
  <c r="J28" i="9"/>
  <c r="J19" i="9"/>
  <c r="J29" i="9"/>
  <c r="J11" i="9"/>
  <c r="J23" i="9"/>
  <c r="J27" i="9"/>
  <c r="Z9" i="6"/>
  <c r="U9" i="6"/>
  <c r="W9" i="6" s="1"/>
  <c r="Y9" i="6"/>
  <c r="N8" i="6"/>
  <c r="P8" i="6" s="1"/>
  <c r="R8" i="6"/>
  <c r="K3" i="9"/>
  <c r="K11" i="9"/>
  <c r="K17" i="9"/>
  <c r="K8" i="9"/>
  <c r="K16" i="9"/>
  <c r="K4" i="9"/>
  <c r="K23" i="9"/>
  <c r="K27" i="9"/>
  <c r="K28" i="9"/>
  <c r="K19" i="9"/>
  <c r="K29" i="9"/>
  <c r="E4" i="9"/>
  <c r="E3" i="9"/>
  <c r="E19" i="9"/>
  <c r="E11" i="9"/>
  <c r="E17" i="9"/>
  <c r="E29" i="9"/>
  <c r="E16" i="9"/>
  <c r="E23" i="9"/>
  <c r="E27" i="9"/>
  <c r="E8" i="9"/>
  <c r="E28" i="9"/>
  <c r="D19" i="9"/>
  <c r="D11" i="9"/>
  <c r="D17" i="9"/>
  <c r="D8" i="9"/>
  <c r="D16" i="9"/>
  <c r="D23" i="9"/>
  <c r="D27" i="9"/>
  <c r="D3" i="9"/>
  <c r="D4" i="9"/>
  <c r="D28" i="9"/>
  <c r="D29" i="9"/>
  <c r="C3" i="9"/>
  <c r="C11" i="9"/>
  <c r="C17" i="9"/>
  <c r="C8" i="9"/>
  <c r="C16" i="9"/>
  <c r="C4" i="9"/>
  <c r="C23" i="9"/>
  <c r="C27" i="9"/>
  <c r="C28" i="9"/>
  <c r="C19" i="9"/>
  <c r="C29" i="9"/>
  <c r="F3" i="9"/>
  <c r="F4" i="9"/>
  <c r="F8" i="9"/>
  <c r="F16" i="9"/>
  <c r="F28" i="9"/>
  <c r="F11" i="9"/>
  <c r="F29" i="9"/>
  <c r="F17" i="9"/>
  <c r="F19" i="9"/>
  <c r="F23" i="9"/>
  <c r="F27" i="9"/>
  <c r="D57" i="17"/>
  <c r="C104" i="17"/>
  <c r="G10" i="6"/>
  <c r="I10" i="6" s="1"/>
  <c r="H73" i="6"/>
  <c r="I73" i="6" s="1"/>
  <c r="P17" i="2" l="1"/>
  <c r="P15" i="2"/>
  <c r="E15" i="2"/>
  <c r="E17" i="2"/>
  <c r="P37" i="2"/>
  <c r="P39" i="2"/>
  <c r="Z37" i="2"/>
  <c r="Z39" i="2"/>
  <c r="AJ39" i="2"/>
  <c r="E45" i="2" s="1"/>
  <c r="AJ37" i="2"/>
  <c r="E44" i="2" s="1"/>
  <c r="AJ15" i="2"/>
  <c r="E22" i="2" s="1"/>
  <c r="AJ17" i="2"/>
  <c r="E23" i="2" s="1"/>
  <c r="AI15" i="9"/>
  <c r="O22" i="9"/>
  <c r="F9" i="8"/>
  <c r="Q15" i="9"/>
  <c r="Y15" i="9"/>
  <c r="V15" i="9"/>
  <c r="AE15" i="9"/>
  <c r="AG15" i="9"/>
  <c r="O15" i="9"/>
  <c r="AB15" i="9"/>
  <c r="P15" i="9"/>
  <c r="S21" i="9"/>
  <c r="AD21" i="9"/>
  <c r="AG21" i="9"/>
  <c r="Q21" i="9"/>
  <c r="W21" i="9"/>
  <c r="AB21" i="9"/>
  <c r="AH21" i="9"/>
  <c r="X21" i="9"/>
  <c r="AK21" i="9"/>
  <c r="V6" i="9"/>
  <c r="AH6" i="9"/>
  <c r="X6" i="9"/>
  <c r="AJ6" i="9"/>
  <c r="AK6" i="9"/>
  <c r="Y6" i="9"/>
  <c r="P6" i="9"/>
  <c r="AB6" i="9"/>
  <c r="O6" i="9"/>
  <c r="AA6" i="9"/>
  <c r="AC6" i="9"/>
  <c r="Q6" i="9"/>
  <c r="R6" i="9"/>
  <c r="AD6" i="9"/>
  <c r="U6" i="9"/>
  <c r="AG6" i="9"/>
  <c r="S6" i="9"/>
  <c r="AE6" i="9"/>
  <c r="W6" i="9"/>
  <c r="AI6" i="9"/>
  <c r="L70" i="6"/>
  <c r="I73" i="10"/>
  <c r="I74" i="10"/>
  <c r="I16" i="10"/>
  <c r="I72" i="10"/>
  <c r="I9" i="10"/>
  <c r="I15" i="10"/>
  <c r="Y70" i="6"/>
  <c r="R70" i="6"/>
  <c r="S70" i="6" s="1"/>
  <c r="N72" i="6"/>
  <c r="O72" i="6" s="1"/>
  <c r="P72" i="6" s="1"/>
  <c r="K71" i="6"/>
  <c r="L71" i="6" s="1"/>
  <c r="O21" i="9"/>
  <c r="AA21" i="9"/>
  <c r="AE5" i="9"/>
  <c r="AB5" i="9"/>
  <c r="AH5" i="9"/>
  <c r="Y5" i="9"/>
  <c r="AK18" i="9"/>
  <c r="Y18" i="9"/>
  <c r="V18" i="9"/>
  <c r="AH18" i="9"/>
  <c r="AA18" i="9"/>
  <c r="O18" i="9"/>
  <c r="R18" i="9"/>
  <c r="AD18" i="9"/>
  <c r="AC18" i="9"/>
  <c r="Q18" i="9"/>
  <c r="AJ18" i="9"/>
  <c r="X18" i="9"/>
  <c r="AI18" i="9"/>
  <c r="W18" i="9"/>
  <c r="AG18" i="9"/>
  <c r="U18" i="9"/>
  <c r="AE18" i="9"/>
  <c r="S18" i="9"/>
  <c r="AB18" i="9"/>
  <c r="P18" i="9"/>
  <c r="AD5" i="9"/>
  <c r="AC5" i="9"/>
  <c r="AG5" i="9"/>
  <c r="AI5" i="9"/>
  <c r="AA5" i="9"/>
  <c r="AJ5" i="9"/>
  <c r="AA12" i="9"/>
  <c r="W12" i="9"/>
  <c r="P12" i="9"/>
  <c r="S12" i="9"/>
  <c r="AK12" i="9"/>
  <c r="AD12" i="9"/>
  <c r="V12" i="9"/>
  <c r="X12" i="9"/>
  <c r="Q12" i="9"/>
  <c r="U12" i="9"/>
  <c r="AA20" i="9"/>
  <c r="U72" i="6"/>
  <c r="V72" i="6" s="1"/>
  <c r="W72" i="6" s="1"/>
  <c r="W70" i="6"/>
  <c r="U71" i="6"/>
  <c r="V71" i="6" s="1"/>
  <c r="W71" i="6" s="1"/>
  <c r="N71" i="6"/>
  <c r="R71" i="6" s="1"/>
  <c r="N73" i="6"/>
  <c r="AI22" i="9"/>
  <c r="AI23" i="9" s="1"/>
  <c r="W22" i="9"/>
  <c r="AC22" i="9"/>
  <c r="AC23" i="9" s="1"/>
  <c r="Q22" i="9"/>
  <c r="AD22" i="9"/>
  <c r="AD23" i="9" s="1"/>
  <c r="R22" i="9"/>
  <c r="F10" i="8" s="1"/>
  <c r="AB22" i="9"/>
  <c r="AB23" i="9" s="1"/>
  <c r="P22" i="9"/>
  <c r="AA22" i="9"/>
  <c r="AA23" i="9" s="1"/>
  <c r="AJ22" i="9"/>
  <c r="AJ23" i="9" s="1"/>
  <c r="AH22" i="9"/>
  <c r="AH23" i="9" s="1"/>
  <c r="AE22" i="9"/>
  <c r="AE23" i="9" s="1"/>
  <c r="AK22" i="9"/>
  <c r="AK23" i="9" s="1"/>
  <c r="AG22" i="9"/>
  <c r="AG23" i="9" s="1"/>
  <c r="R20" i="9"/>
  <c r="AD20" i="9"/>
  <c r="V20" i="9"/>
  <c r="AH20" i="9"/>
  <c r="P20" i="9"/>
  <c r="AB20" i="9"/>
  <c r="S20" i="9"/>
  <c r="AE20" i="9"/>
  <c r="Y20" i="9"/>
  <c r="AK20" i="9"/>
  <c r="W20" i="9"/>
  <c r="AI20" i="9"/>
  <c r="U20" i="9"/>
  <c r="AG20" i="9"/>
  <c r="Q20" i="9"/>
  <c r="AC20" i="9"/>
  <c r="X20" i="9"/>
  <c r="AJ20" i="9"/>
  <c r="E62" i="11"/>
  <c r="G18" i="10" s="1"/>
  <c r="E63" i="11"/>
  <c r="G19" i="10" s="1"/>
  <c r="E64" i="11"/>
  <c r="G20" i="10" s="1"/>
  <c r="E61" i="11"/>
  <c r="G17" i="10" s="1"/>
  <c r="E60" i="11"/>
  <c r="AF58" i="11"/>
  <c r="E76" i="10" s="1"/>
  <c r="F56" i="11"/>
  <c r="D72" i="10"/>
  <c r="E51" i="16"/>
  <c r="E51" i="18" s="1"/>
  <c r="T115" i="17"/>
  <c r="T116" i="17" s="1"/>
  <c r="G115" i="17"/>
  <c r="G116" i="17" s="1"/>
  <c r="U115" i="17"/>
  <c r="U116" i="17" s="1"/>
  <c r="S115" i="17"/>
  <c r="S116" i="17" s="1"/>
  <c r="Q10" i="7"/>
  <c r="L72" i="6"/>
  <c r="K72" i="6"/>
  <c r="S110" i="17"/>
  <c r="S111" i="17" s="1"/>
  <c r="U110" i="17"/>
  <c r="U111" i="17" s="1"/>
  <c r="V110" i="17"/>
  <c r="V111" i="17" s="1"/>
  <c r="F110" i="17"/>
  <c r="F111" i="17" s="1"/>
  <c r="T110" i="17"/>
  <c r="T111" i="17" s="1"/>
  <c r="P135" i="17"/>
  <c r="P136" i="17" s="1"/>
  <c r="R135" i="17"/>
  <c r="R136" i="17" s="1"/>
  <c r="E56" i="16"/>
  <c r="E56" i="18" s="1"/>
  <c r="Q135" i="17"/>
  <c r="Q136" i="17" s="1"/>
  <c r="I135" i="17"/>
  <c r="I136" i="17" s="1"/>
  <c r="J135" i="17"/>
  <c r="J136" i="17" s="1"/>
  <c r="F135" i="17"/>
  <c r="F136" i="17" s="1"/>
  <c r="N135" i="17"/>
  <c r="N136" i="17" s="1"/>
  <c r="H135" i="17"/>
  <c r="H136" i="17" s="1"/>
  <c r="K135" i="17"/>
  <c r="K136" i="17" s="1"/>
  <c r="M135" i="17"/>
  <c r="M136" i="17" s="1"/>
  <c r="O135" i="17"/>
  <c r="O136" i="17" s="1"/>
  <c r="L135" i="17"/>
  <c r="L136" i="17" s="1"/>
  <c r="E135" i="17"/>
  <c r="E136" i="17" s="1"/>
  <c r="D135" i="17"/>
  <c r="D136" i="17" s="1"/>
  <c r="S94" i="17"/>
  <c r="S95" i="17" s="1"/>
  <c r="S96" i="17" s="1"/>
  <c r="V134" i="17"/>
  <c r="P120" i="17"/>
  <c r="P121" i="17" s="1"/>
  <c r="X49" i="16"/>
  <c r="X49" i="18" s="1"/>
  <c r="J120" i="17"/>
  <c r="J121" i="17" s="1"/>
  <c r="S120" i="17"/>
  <c r="S121" i="17" s="1"/>
  <c r="Z53" i="16"/>
  <c r="Z53" i="18" s="1"/>
  <c r="L120" i="17"/>
  <c r="L121" i="17" s="1"/>
  <c r="E120" i="17"/>
  <c r="E121" i="17" s="1"/>
  <c r="H120" i="17"/>
  <c r="H121" i="17" s="1"/>
  <c r="F120" i="17"/>
  <c r="F121" i="17" s="1"/>
  <c r="E53" i="16"/>
  <c r="E53" i="18" s="1"/>
  <c r="Z54" i="16"/>
  <c r="Z54" i="18" s="1"/>
  <c r="P9" i="6"/>
  <c r="S9" i="6"/>
  <c r="K9" i="6"/>
  <c r="K73" i="6"/>
  <c r="L73" i="6" s="1"/>
  <c r="I8" i="6"/>
  <c r="L8" i="6" s="1"/>
  <c r="I9" i="6"/>
  <c r="W8" i="6"/>
  <c r="Z8" i="6" s="1"/>
  <c r="P10" i="6"/>
  <c r="S10" i="6" s="1"/>
  <c r="K10" i="6"/>
  <c r="L10" i="6" s="1"/>
  <c r="I120" i="17"/>
  <c r="I121" i="17" s="1"/>
  <c r="R120" i="17"/>
  <c r="R121" i="17" s="1"/>
  <c r="O120" i="17"/>
  <c r="O121" i="17" s="1"/>
  <c r="M120" i="17"/>
  <c r="M121" i="17" s="1"/>
  <c r="G120" i="17"/>
  <c r="G121" i="17" s="1"/>
  <c r="D120" i="17"/>
  <c r="D121" i="17" s="1"/>
  <c r="N120" i="17"/>
  <c r="N121" i="17" s="1"/>
  <c r="K120" i="17"/>
  <c r="K121" i="17" s="1"/>
  <c r="F26" i="9"/>
  <c r="F25" i="9"/>
  <c r="F24" i="9"/>
  <c r="D24" i="9"/>
  <c r="D26" i="9"/>
  <c r="D25" i="9"/>
  <c r="E25" i="9"/>
  <c r="E24" i="9"/>
  <c r="E26" i="9"/>
  <c r="J26" i="9"/>
  <c r="J25" i="9"/>
  <c r="J24" i="9"/>
  <c r="L24" i="9"/>
  <c r="L26" i="9"/>
  <c r="L25" i="9"/>
  <c r="T94" i="17"/>
  <c r="T95" i="17" s="1"/>
  <c r="T96" i="17" s="1"/>
  <c r="T124" i="17"/>
  <c r="N54" i="16" s="1"/>
  <c r="N54" i="18" s="1"/>
  <c r="T100" i="17"/>
  <c r="T101" i="17" s="1"/>
  <c r="X100" i="17"/>
  <c r="X101" i="17" s="1"/>
  <c r="AB100" i="17"/>
  <c r="AB101" i="17" s="1"/>
  <c r="AF100" i="17"/>
  <c r="AF101" i="17" s="1"/>
  <c r="U100" i="17"/>
  <c r="U101" i="17" s="1"/>
  <c r="Y100" i="17"/>
  <c r="Y101" i="17" s="1"/>
  <c r="AC100" i="17"/>
  <c r="AC101" i="17" s="1"/>
  <c r="AG100" i="17"/>
  <c r="AG101" i="17" s="1"/>
  <c r="V100" i="17"/>
  <c r="V101" i="17" s="1"/>
  <c r="Z100" i="17"/>
  <c r="Z101" i="17" s="1"/>
  <c r="AD100" i="17"/>
  <c r="AD101" i="17" s="1"/>
  <c r="S100" i="17"/>
  <c r="S101" i="17" s="1"/>
  <c r="W100" i="17"/>
  <c r="W101" i="17" s="1"/>
  <c r="AA100" i="17"/>
  <c r="AA101" i="17" s="1"/>
  <c r="AE100" i="17"/>
  <c r="AE101" i="17" s="1"/>
  <c r="E48" i="16"/>
  <c r="E48" i="18" s="1"/>
  <c r="D130" i="17"/>
  <c r="D131" i="17" s="1"/>
  <c r="H130" i="17"/>
  <c r="H131" i="17" s="1"/>
  <c r="L130" i="17"/>
  <c r="L131" i="17" s="1"/>
  <c r="P130" i="17"/>
  <c r="P131" i="17" s="1"/>
  <c r="E130" i="17"/>
  <c r="E131" i="17" s="1"/>
  <c r="I130" i="17"/>
  <c r="I131" i="17" s="1"/>
  <c r="M130" i="17"/>
  <c r="M131" i="17" s="1"/>
  <c r="Q130" i="17"/>
  <c r="Q131" i="17" s="1"/>
  <c r="F130" i="17"/>
  <c r="F131" i="17" s="1"/>
  <c r="J130" i="17"/>
  <c r="J131" i="17" s="1"/>
  <c r="N130" i="17"/>
  <c r="N131" i="17" s="1"/>
  <c r="R130" i="17"/>
  <c r="R131" i="17" s="1"/>
  <c r="G130" i="17"/>
  <c r="G131" i="17" s="1"/>
  <c r="K130" i="17"/>
  <c r="K131" i="17" s="1"/>
  <c r="O130" i="17"/>
  <c r="O131" i="17" s="1"/>
  <c r="E55" i="16"/>
  <c r="E55" i="18" s="1"/>
  <c r="B13" i="9"/>
  <c r="B9" i="9"/>
  <c r="B14" i="9"/>
  <c r="B10" i="9"/>
  <c r="B7" i="9"/>
  <c r="H10" i="9"/>
  <c r="H7" i="9"/>
  <c r="H13" i="9"/>
  <c r="H9" i="9"/>
  <c r="H14" i="9"/>
  <c r="V105" i="17"/>
  <c r="V106" i="17" s="1"/>
  <c r="Z105" i="17"/>
  <c r="Z106" i="17" s="1"/>
  <c r="AD105" i="17"/>
  <c r="AD106" i="17" s="1"/>
  <c r="S105" i="17"/>
  <c r="S106" i="17" s="1"/>
  <c r="W105" i="17"/>
  <c r="W106" i="17" s="1"/>
  <c r="AA105" i="17"/>
  <c r="AA106" i="17" s="1"/>
  <c r="AE105" i="17"/>
  <c r="AE106" i="17" s="1"/>
  <c r="T105" i="17"/>
  <c r="T106" i="17" s="1"/>
  <c r="X105" i="17"/>
  <c r="X106" i="17" s="1"/>
  <c r="AB105" i="17"/>
  <c r="AB106" i="17" s="1"/>
  <c r="AF105" i="17"/>
  <c r="AF106" i="17" s="1"/>
  <c r="U105" i="17"/>
  <c r="U106" i="17" s="1"/>
  <c r="Y105" i="17"/>
  <c r="Y106" i="17" s="1"/>
  <c r="AC105" i="17"/>
  <c r="AC106" i="17" s="1"/>
  <c r="AG105" i="17"/>
  <c r="AG106" i="17" s="1"/>
  <c r="E49" i="16"/>
  <c r="E49" i="18" s="1"/>
  <c r="K26" i="9"/>
  <c r="K25" i="9"/>
  <c r="K24" i="9"/>
  <c r="K7" i="9"/>
  <c r="K13" i="9"/>
  <c r="K9" i="9"/>
  <c r="K14" i="9"/>
  <c r="K10" i="9"/>
  <c r="J13" i="9"/>
  <c r="J9" i="9"/>
  <c r="J14" i="9"/>
  <c r="J10" i="9"/>
  <c r="J7" i="9"/>
  <c r="H95" i="17"/>
  <c r="H96" i="17" s="1"/>
  <c r="L95" i="17"/>
  <c r="L96" i="17" s="1"/>
  <c r="P95" i="17"/>
  <c r="P96" i="17" s="1"/>
  <c r="X95" i="17"/>
  <c r="X96" i="17" s="1"/>
  <c r="AB95" i="17"/>
  <c r="AB96" i="17" s="1"/>
  <c r="AF95" i="17"/>
  <c r="AF96" i="17" s="1"/>
  <c r="I95" i="17"/>
  <c r="I96" i="17" s="1"/>
  <c r="M95" i="17"/>
  <c r="M96" i="17" s="1"/>
  <c r="Q95" i="17"/>
  <c r="Q96" i="17" s="1"/>
  <c r="Y95" i="17"/>
  <c r="Y96" i="17" s="1"/>
  <c r="G95" i="17"/>
  <c r="G96" i="17" s="1"/>
  <c r="K95" i="17"/>
  <c r="K96" i="17" s="1"/>
  <c r="O95" i="17"/>
  <c r="O96" i="17" s="1"/>
  <c r="W95" i="17"/>
  <c r="W96" i="17" s="1"/>
  <c r="AA95" i="17"/>
  <c r="AA96" i="17" s="1"/>
  <c r="AE95" i="17"/>
  <c r="AE96" i="17" s="1"/>
  <c r="F95" i="17"/>
  <c r="F96" i="17" s="1"/>
  <c r="V95" i="17"/>
  <c r="V96" i="17" s="1"/>
  <c r="AG95" i="17"/>
  <c r="AG96" i="17" s="1"/>
  <c r="J95" i="17"/>
  <c r="J96" i="17" s="1"/>
  <c r="Z95" i="17"/>
  <c r="Z96" i="17" s="1"/>
  <c r="N95" i="17"/>
  <c r="N96" i="17" s="1"/>
  <c r="AC95" i="17"/>
  <c r="AC96" i="17" s="1"/>
  <c r="R95" i="17"/>
  <c r="R96" i="17" s="1"/>
  <c r="AD95" i="17"/>
  <c r="AD96" i="17" s="1"/>
  <c r="I25" i="9"/>
  <c r="I24" i="9"/>
  <c r="I26" i="9"/>
  <c r="I9" i="9"/>
  <c r="I14" i="9"/>
  <c r="I10" i="9"/>
  <c r="I7" i="9"/>
  <c r="I13" i="9"/>
  <c r="W10" i="6"/>
  <c r="Z10" i="6" s="1"/>
  <c r="U94" i="17"/>
  <c r="U95" i="17" s="1"/>
  <c r="U96" i="17" s="1"/>
  <c r="U129" i="17"/>
  <c r="O55" i="16" s="1"/>
  <c r="O55" i="18" s="1"/>
  <c r="H24" i="9"/>
  <c r="H26" i="9"/>
  <c r="H25" i="9"/>
  <c r="C26" i="9"/>
  <c r="C25" i="9"/>
  <c r="C24" i="9"/>
  <c r="F13" i="9"/>
  <c r="F9" i="9"/>
  <c r="F14" i="9"/>
  <c r="F10" i="9"/>
  <c r="F7" i="9"/>
  <c r="E94" i="17"/>
  <c r="E95" i="17" s="1"/>
  <c r="E96" i="17" s="1"/>
  <c r="E104" i="17"/>
  <c r="N49" i="16" s="1"/>
  <c r="N49" i="18" s="1"/>
  <c r="D94" i="17"/>
  <c r="D95" i="17" s="1"/>
  <c r="D96" i="17" s="1"/>
  <c r="D99" i="17"/>
  <c r="J48" i="16" s="1"/>
  <c r="J48" i="18" s="1"/>
  <c r="C7" i="9"/>
  <c r="C13" i="9"/>
  <c r="C9" i="9"/>
  <c r="C14" i="9"/>
  <c r="C10" i="9"/>
  <c r="D10" i="9"/>
  <c r="D7" i="9"/>
  <c r="D13" i="9"/>
  <c r="D14" i="9"/>
  <c r="D9" i="9"/>
  <c r="E9" i="9"/>
  <c r="E14" i="9"/>
  <c r="E10" i="9"/>
  <c r="E7" i="9"/>
  <c r="E13" i="9"/>
  <c r="Y73" i="6"/>
  <c r="V73" i="6"/>
  <c r="W73" i="6" s="1"/>
  <c r="S8" i="6"/>
  <c r="L10" i="9"/>
  <c r="L7" i="9"/>
  <c r="L13" i="9"/>
  <c r="L9" i="9"/>
  <c r="L14" i="9"/>
  <c r="F125" i="17"/>
  <c r="F126" i="17" s="1"/>
  <c r="J125" i="17"/>
  <c r="J126" i="17" s="1"/>
  <c r="N125" i="17"/>
  <c r="N126" i="17" s="1"/>
  <c r="R125" i="17"/>
  <c r="R126" i="17" s="1"/>
  <c r="G125" i="17"/>
  <c r="G126" i="17" s="1"/>
  <c r="K125" i="17"/>
  <c r="K126" i="17" s="1"/>
  <c r="O125" i="17"/>
  <c r="O126" i="17" s="1"/>
  <c r="D125" i="17"/>
  <c r="D126" i="17" s="1"/>
  <c r="H125" i="17"/>
  <c r="H126" i="17" s="1"/>
  <c r="L125" i="17"/>
  <c r="L126" i="17" s="1"/>
  <c r="P125" i="17"/>
  <c r="P126" i="17" s="1"/>
  <c r="E125" i="17"/>
  <c r="E126" i="17" s="1"/>
  <c r="I125" i="17"/>
  <c r="I126" i="17" s="1"/>
  <c r="M125" i="17"/>
  <c r="M126" i="17" s="1"/>
  <c r="Q125" i="17"/>
  <c r="Q126" i="17" s="1"/>
  <c r="E54" i="16"/>
  <c r="E54" i="18" s="1"/>
  <c r="AF10" i="9"/>
  <c r="T10" i="9"/>
  <c r="AF11" i="9"/>
  <c r="T11" i="9"/>
  <c r="B26" i="9"/>
  <c r="B25" i="9"/>
  <c r="B24" i="9"/>
  <c r="G9" i="8" l="1"/>
  <c r="E9" i="8"/>
  <c r="R72" i="6"/>
  <c r="D10" i="8"/>
  <c r="D9" i="8"/>
  <c r="Z70" i="6"/>
  <c r="G16" i="10"/>
  <c r="G15" i="15" s="1"/>
  <c r="E57" i="11"/>
  <c r="G15" i="10" s="1"/>
  <c r="G14" i="15" s="1"/>
  <c r="F60" i="11"/>
  <c r="S72" i="6"/>
  <c r="E12" i="1"/>
  <c r="E14" i="1" s="1"/>
  <c r="E12" i="14" s="1"/>
  <c r="Z72" i="6"/>
  <c r="H10" i="8"/>
  <c r="G10" i="8"/>
  <c r="H9" i="8"/>
  <c r="E10" i="8"/>
  <c r="Y72" i="6"/>
  <c r="Y71" i="6"/>
  <c r="Z71" i="6" s="1"/>
  <c r="O73" i="6"/>
  <c r="P73" i="6" s="1"/>
  <c r="R73" i="6"/>
  <c r="R74" i="6" s="1"/>
  <c r="G6" i="5" s="1"/>
  <c r="O71" i="6"/>
  <c r="P71" i="6" s="1"/>
  <c r="S71" i="6" s="1"/>
  <c r="F62" i="11"/>
  <c r="F63" i="11"/>
  <c r="F64" i="11"/>
  <c r="F61" i="11"/>
  <c r="G16" i="15"/>
  <c r="G19" i="15"/>
  <c r="G18" i="15"/>
  <c r="G17" i="15"/>
  <c r="D71" i="15"/>
  <c r="AH116" i="17"/>
  <c r="E34" i="16" s="1"/>
  <c r="E34" i="18" s="1"/>
  <c r="C11" i="7"/>
  <c r="Y10" i="7"/>
  <c r="E75" i="15"/>
  <c r="AH111" i="17"/>
  <c r="E32" i="16" s="1"/>
  <c r="E32" i="18" s="1"/>
  <c r="U130" i="17"/>
  <c r="U131" i="17" s="1"/>
  <c r="AH131" i="17" s="1"/>
  <c r="P56" i="16"/>
  <c r="P56" i="18" s="1"/>
  <c r="V135" i="17"/>
  <c r="V136" i="17" s="1"/>
  <c r="AH136" i="17" s="1"/>
  <c r="E42" i="16" s="1"/>
  <c r="E42" i="18" s="1"/>
  <c r="D100" i="17"/>
  <c r="D101" i="17" s="1"/>
  <c r="AH101" i="17" s="1"/>
  <c r="T125" i="17"/>
  <c r="T126" i="17" s="1"/>
  <c r="AH126" i="17" s="1"/>
  <c r="E105" i="17"/>
  <c r="E106" i="17" s="1"/>
  <c r="AH106" i="17" s="1"/>
  <c r="AH121" i="17"/>
  <c r="K74" i="6"/>
  <c r="Z73" i="6"/>
  <c r="L74" i="6"/>
  <c r="C26" i="1"/>
  <c r="C24" i="14" s="1"/>
  <c r="E27" i="1"/>
  <c r="C11" i="1"/>
  <c r="C9" i="14" s="1"/>
  <c r="G59" i="8"/>
  <c r="H59" i="8" s="1"/>
  <c r="I59" i="8" s="1"/>
  <c r="G60" i="8"/>
  <c r="H60" i="8" s="1"/>
  <c r="I60" i="8" s="1"/>
  <c r="G61" i="8"/>
  <c r="H61" i="8" s="1"/>
  <c r="I61" i="8" s="1"/>
  <c r="F71" i="8"/>
  <c r="G71" i="8" s="1"/>
  <c r="H71" i="8" s="1"/>
  <c r="I71" i="8" s="1"/>
  <c r="X71" i="7" s="1"/>
  <c r="F44" i="8"/>
  <c r="G44" i="8" s="1"/>
  <c r="H44" i="8" s="1"/>
  <c r="X44" i="7" s="1"/>
  <c r="F73" i="8"/>
  <c r="G73" i="8" s="1"/>
  <c r="H73" i="8" s="1"/>
  <c r="I73" i="8" s="1"/>
  <c r="X73" i="7" s="1"/>
  <c r="I73" i="7" s="1"/>
  <c r="Y73" i="7" s="1"/>
  <c r="F47" i="8"/>
  <c r="G47" i="8" s="1"/>
  <c r="H47" i="8" s="1"/>
  <c r="X47" i="7" s="1"/>
  <c r="F69" i="8"/>
  <c r="G69" i="8" s="1"/>
  <c r="H69" i="8" s="1"/>
  <c r="I69" i="8" s="1"/>
  <c r="X69" i="7" s="1"/>
  <c r="AE10" i="9"/>
  <c r="S10" i="9"/>
  <c r="AE11" i="9"/>
  <c r="S11" i="9"/>
  <c r="AH96" i="17"/>
  <c r="AI10" i="9"/>
  <c r="W10" i="9"/>
  <c r="AI11" i="9"/>
  <c r="W11" i="9"/>
  <c r="G56" i="8"/>
  <c r="H56" i="8" s="1"/>
  <c r="I56" i="8" s="1"/>
  <c r="F51" i="8"/>
  <c r="G51" i="8" s="1"/>
  <c r="H51" i="8" s="1"/>
  <c r="X51" i="7" s="1"/>
  <c r="F15" i="8"/>
  <c r="G15" i="8" s="1"/>
  <c r="H15" i="8" s="1"/>
  <c r="I15" i="8" s="1"/>
  <c r="X15" i="7" s="1"/>
  <c r="F41" i="8"/>
  <c r="G41" i="8" s="1"/>
  <c r="H41" i="8" s="1"/>
  <c r="F38" i="8"/>
  <c r="G38" i="8" s="1"/>
  <c r="H38" i="8" s="1"/>
  <c r="F49" i="8"/>
  <c r="G49" i="8" s="1"/>
  <c r="H49" i="8" s="1"/>
  <c r="X49" i="7" s="1"/>
  <c r="G62" i="8"/>
  <c r="H62" i="8" s="1"/>
  <c r="I62" i="8" s="1"/>
  <c r="V10" i="9"/>
  <c r="AH11" i="9"/>
  <c r="V11" i="9"/>
  <c r="G64" i="8" s="1"/>
  <c r="H64" i="8" s="1"/>
  <c r="I64" i="8" s="1"/>
  <c r="AH10" i="9"/>
  <c r="U11" i="9"/>
  <c r="AG10" i="9"/>
  <c r="U10" i="9"/>
  <c r="F40" i="8" s="1"/>
  <c r="G40" i="8" s="1"/>
  <c r="H40" i="8" s="1"/>
  <c r="AG11" i="9"/>
  <c r="Q11" i="9"/>
  <c r="AC10" i="9"/>
  <c r="AC11" i="9"/>
  <c r="Q10" i="9"/>
  <c r="F16" i="8"/>
  <c r="G16" i="8" s="1"/>
  <c r="H16" i="8" s="1"/>
  <c r="I16" i="8" s="1"/>
  <c r="X16" i="7" s="1"/>
  <c r="F23" i="8"/>
  <c r="G23" i="8" s="1"/>
  <c r="H23" i="8" s="1"/>
  <c r="F32" i="8"/>
  <c r="G32" i="8" s="1"/>
  <c r="H32" i="8" s="1"/>
  <c r="F21" i="8"/>
  <c r="G21" i="8" s="1"/>
  <c r="H21" i="8" s="1"/>
  <c r="F48" i="8"/>
  <c r="G48" i="8" s="1"/>
  <c r="H48" i="8" s="1"/>
  <c r="X48" i="7" s="1"/>
  <c r="F50" i="8"/>
  <c r="G50" i="8" s="1"/>
  <c r="H50" i="8" s="1"/>
  <c r="X50" i="7" s="1"/>
  <c r="F24" i="8"/>
  <c r="G24" i="8" s="1"/>
  <c r="H24" i="8" s="1"/>
  <c r="F19" i="8"/>
  <c r="G19" i="8" s="1"/>
  <c r="H19" i="8" s="1"/>
  <c r="F29" i="8"/>
  <c r="G29" i="8" s="1"/>
  <c r="H29" i="8" s="1"/>
  <c r="G55" i="8"/>
  <c r="H55" i="8" s="1"/>
  <c r="G57" i="8"/>
  <c r="H57" i="8" s="1"/>
  <c r="I57" i="8" s="1"/>
  <c r="Y11" i="9"/>
  <c r="G65" i="8" s="1"/>
  <c r="H65" i="8" s="1"/>
  <c r="I65" i="8" s="1"/>
  <c r="AK10" i="9"/>
  <c r="AK11" i="9"/>
  <c r="Y10" i="9"/>
  <c r="R10" i="9"/>
  <c r="AD11" i="9"/>
  <c r="R11" i="9"/>
  <c r="AD10" i="9"/>
  <c r="AB10" i="9"/>
  <c r="P10" i="9"/>
  <c r="AB11" i="9"/>
  <c r="P11" i="9"/>
  <c r="F22" i="8"/>
  <c r="G22" i="8" s="1"/>
  <c r="H22" i="8" s="1"/>
  <c r="F45" i="8"/>
  <c r="G45" i="8" s="1"/>
  <c r="H45" i="8" s="1"/>
  <c r="X45" i="7" s="1"/>
  <c r="F70" i="8"/>
  <c r="G70" i="8" s="1"/>
  <c r="H70" i="8" s="1"/>
  <c r="I70" i="8" s="1"/>
  <c r="X70" i="7" s="1"/>
  <c r="F26" i="8"/>
  <c r="G26" i="8" s="1"/>
  <c r="H26" i="8" s="1"/>
  <c r="F36" i="8"/>
  <c r="G36" i="8" s="1"/>
  <c r="H36" i="8" s="1"/>
  <c r="F17" i="8"/>
  <c r="G17" i="8" s="1"/>
  <c r="H17" i="8" s="1"/>
  <c r="I17" i="8" s="1"/>
  <c r="X17" i="7" s="1"/>
  <c r="F43" i="8"/>
  <c r="G43" i="8" s="1"/>
  <c r="H43" i="8" s="1"/>
  <c r="X43" i="7" s="1"/>
  <c r="AJ10" i="9"/>
  <c r="X10" i="9"/>
  <c r="AJ11" i="9"/>
  <c r="X11" i="9"/>
  <c r="AA10" i="9"/>
  <c r="O10" i="9"/>
  <c r="AA11" i="9"/>
  <c r="O11" i="9"/>
  <c r="F57" i="11" l="1"/>
  <c r="E10" i="14"/>
  <c r="E17" i="1"/>
  <c r="E15" i="14" s="1"/>
  <c r="E18" i="1"/>
  <c r="E16" i="14" s="1"/>
  <c r="E19" i="1"/>
  <c r="E17" i="14" s="1"/>
  <c r="E20" i="1"/>
  <c r="E18" i="14" s="1"/>
  <c r="E21" i="1"/>
  <c r="E19" i="14" s="1"/>
  <c r="E16" i="1"/>
  <c r="E22" i="1" s="1"/>
  <c r="Y74" i="6"/>
  <c r="G7" i="5" s="1"/>
  <c r="I10" i="8"/>
  <c r="J10" i="8" s="1"/>
  <c r="I9" i="8"/>
  <c r="J9" i="8" s="1"/>
  <c r="F20" i="8"/>
  <c r="G20" i="8" s="1"/>
  <c r="H20" i="8" s="1"/>
  <c r="I20" i="8" s="1"/>
  <c r="X20" i="7" s="1"/>
  <c r="I20" i="7" s="1"/>
  <c r="Y20" i="7" s="1"/>
  <c r="F34" i="8"/>
  <c r="G34" i="8" s="1"/>
  <c r="H34" i="8" s="1"/>
  <c r="I34" i="8" s="1"/>
  <c r="X34" i="7" s="1"/>
  <c r="I34" i="7" s="1"/>
  <c r="Y34" i="7" s="1"/>
  <c r="F30" i="8"/>
  <c r="G30" i="8" s="1"/>
  <c r="H30" i="8" s="1"/>
  <c r="I30" i="8" s="1"/>
  <c r="X30" i="7" s="1"/>
  <c r="I30" i="7" s="1"/>
  <c r="Y30" i="7" s="1"/>
  <c r="F31" i="8"/>
  <c r="G31" i="8" s="1"/>
  <c r="H31" i="8" s="1"/>
  <c r="I31" i="8" s="1"/>
  <c r="X31" i="7" s="1"/>
  <c r="I31" i="7" s="1"/>
  <c r="Y31" i="7" s="1"/>
  <c r="F37" i="8"/>
  <c r="G37" i="8" s="1"/>
  <c r="H37" i="8" s="1"/>
  <c r="I37" i="8" s="1"/>
  <c r="X37" i="7" s="1"/>
  <c r="I37" i="7" s="1"/>
  <c r="Y37" i="7" s="1"/>
  <c r="F33" i="8"/>
  <c r="G33" i="8" s="1"/>
  <c r="H33" i="8" s="1"/>
  <c r="I33" i="8" s="1"/>
  <c r="X33" i="7" s="1"/>
  <c r="I33" i="7" s="1"/>
  <c r="Y33" i="7" s="1"/>
  <c r="F25" i="8"/>
  <c r="G25" i="8" s="1"/>
  <c r="H25" i="8" s="1"/>
  <c r="I25" i="8" s="1"/>
  <c r="X25" i="7" s="1"/>
  <c r="I25" i="7" s="1"/>
  <c r="Y25" i="7" s="1"/>
  <c r="F28" i="8"/>
  <c r="G28" i="8" s="1"/>
  <c r="H28" i="8" s="1"/>
  <c r="I28" i="8" s="1"/>
  <c r="X28" i="7" s="1"/>
  <c r="I28" i="7" s="1"/>
  <c r="Y28" i="7" s="1"/>
  <c r="F27" i="8"/>
  <c r="G27" i="8" s="1"/>
  <c r="H27" i="8" s="1"/>
  <c r="I27" i="8" s="1"/>
  <c r="X27" i="7" s="1"/>
  <c r="I27" i="7" s="1"/>
  <c r="Y27" i="7" s="1"/>
  <c r="S73" i="6"/>
  <c r="S74" i="6" s="1"/>
  <c r="H6" i="5" s="1"/>
  <c r="P6" i="5" s="1"/>
  <c r="F65" i="11"/>
  <c r="D74" i="10" s="1"/>
  <c r="D73" i="15" s="1"/>
  <c r="F58" i="11"/>
  <c r="D73" i="10" s="1"/>
  <c r="V65" i="7"/>
  <c r="U65" i="7"/>
  <c r="V64" i="7"/>
  <c r="U64" i="7"/>
  <c r="V62" i="7"/>
  <c r="U62" i="7"/>
  <c r="V61" i="7"/>
  <c r="U61" i="7"/>
  <c r="V59" i="7"/>
  <c r="U59" i="7"/>
  <c r="V60" i="7"/>
  <c r="U60" i="7"/>
  <c r="I55" i="8"/>
  <c r="I48" i="7"/>
  <c r="I50" i="7"/>
  <c r="I49" i="7"/>
  <c r="I47" i="7"/>
  <c r="I51" i="7"/>
  <c r="I40" i="8"/>
  <c r="X40" i="7" s="1"/>
  <c r="I40" i="7" s="1"/>
  <c r="Y40" i="7" s="1"/>
  <c r="I38" i="8"/>
  <c r="X38" i="7" s="1"/>
  <c r="I38" i="7" s="1"/>
  <c r="Y38" i="7" s="1"/>
  <c r="I36" i="8"/>
  <c r="X36" i="7" s="1"/>
  <c r="I36" i="7" s="1"/>
  <c r="Y36" i="7" s="1"/>
  <c r="I19" i="8"/>
  <c r="X19" i="7" s="1"/>
  <c r="I19" i="7" s="1"/>
  <c r="Y19" i="7" s="1"/>
  <c r="I26" i="8"/>
  <c r="X26" i="7" s="1"/>
  <c r="I26" i="7" s="1"/>
  <c r="Y26" i="7" s="1"/>
  <c r="I24" i="8"/>
  <c r="X24" i="7" s="1"/>
  <c r="I24" i="7" s="1"/>
  <c r="Y24" i="7" s="1"/>
  <c r="I21" i="8"/>
  <c r="X21" i="7" s="1"/>
  <c r="I21" i="7" s="1"/>
  <c r="Y21" i="7" s="1"/>
  <c r="I32" i="8"/>
  <c r="X32" i="7" s="1"/>
  <c r="I32" i="7" s="1"/>
  <c r="Y32" i="7" s="1"/>
  <c r="I22" i="8"/>
  <c r="X22" i="7" s="1"/>
  <c r="I22" i="7" s="1"/>
  <c r="Y22" i="7" s="1"/>
  <c r="I29" i="8"/>
  <c r="X29" i="7" s="1"/>
  <c r="I29" i="7" s="1"/>
  <c r="Y29" i="7" s="1"/>
  <c r="I23" i="8"/>
  <c r="X23" i="7" s="1"/>
  <c r="I23" i="7" s="1"/>
  <c r="Y23" i="7" s="1"/>
  <c r="E24" i="16"/>
  <c r="E24" i="18" s="1"/>
  <c r="E38" i="16"/>
  <c r="E38" i="18" s="1"/>
  <c r="E28" i="16"/>
  <c r="E28" i="18" s="1"/>
  <c r="E40" i="16"/>
  <c r="E40" i="18" s="1"/>
  <c r="E36" i="16"/>
  <c r="E36" i="18" s="1"/>
  <c r="E30" i="16"/>
  <c r="E30" i="18" s="1"/>
  <c r="N64" i="8"/>
  <c r="O64" i="8" s="1"/>
  <c r="S64" i="8" s="1"/>
  <c r="T64" i="8" s="1"/>
  <c r="U64" i="8" s="1"/>
  <c r="X64" i="7" s="1"/>
  <c r="N65" i="8"/>
  <c r="O65" i="8" s="1"/>
  <c r="S65" i="8" s="1"/>
  <c r="T65" i="8" s="1"/>
  <c r="U65" i="8" s="1"/>
  <c r="X65" i="7" s="1"/>
  <c r="N59" i="8"/>
  <c r="O59" i="8" s="1"/>
  <c r="S59" i="8" s="1"/>
  <c r="T59" i="8" s="1"/>
  <c r="U59" i="8" s="1"/>
  <c r="X59" i="7" s="1"/>
  <c r="N60" i="8"/>
  <c r="O60" i="8" s="1"/>
  <c r="S60" i="8" s="1"/>
  <c r="T60" i="8" s="1"/>
  <c r="U60" i="8" s="1"/>
  <c r="X60" i="7" s="1"/>
  <c r="N61" i="8"/>
  <c r="O61" i="8" s="1"/>
  <c r="S61" i="8" s="1"/>
  <c r="T61" i="8" s="1"/>
  <c r="U61" i="8" s="1"/>
  <c r="X61" i="7" s="1"/>
  <c r="N62" i="8"/>
  <c r="O62" i="8" s="1"/>
  <c r="S62" i="8" s="1"/>
  <c r="T62" i="8" s="1"/>
  <c r="U62" i="8" s="1"/>
  <c r="X62" i="7" s="1"/>
  <c r="N56" i="8"/>
  <c r="O56" i="8" s="1"/>
  <c r="S56" i="8" s="1"/>
  <c r="T56" i="8" s="1"/>
  <c r="U56" i="8" s="1"/>
  <c r="X56" i="7" s="1"/>
  <c r="N57" i="8"/>
  <c r="E31" i="1"/>
  <c r="E29" i="14" s="1"/>
  <c r="E30" i="1"/>
  <c r="E28" i="14" s="1"/>
  <c r="E25" i="14"/>
  <c r="E29" i="1"/>
  <c r="E27" i="14" s="1"/>
  <c r="Z74" i="6"/>
  <c r="H7" i="5" s="1"/>
  <c r="P7" i="5" s="1"/>
  <c r="E14" i="14"/>
  <c r="E43" i="1"/>
  <c r="E41" i="14" s="1"/>
  <c r="E34" i="1"/>
  <c r="E32" i="14" s="1"/>
  <c r="E33" i="1"/>
  <c r="E31" i="14" s="1"/>
  <c r="E42" i="1"/>
  <c r="E40" i="14" s="1"/>
  <c r="E38" i="1"/>
  <c r="E36" i="14" s="1"/>
  <c r="E41" i="1"/>
  <c r="E39" i="14" s="1"/>
  <c r="E39" i="1"/>
  <c r="E37" i="14" s="1"/>
  <c r="E35" i="1"/>
  <c r="E33" i="14" s="1"/>
  <c r="E37" i="1"/>
  <c r="E36" i="1"/>
  <c r="E34" i="14" s="1"/>
  <c r="E40" i="1"/>
  <c r="E38" i="14" s="1"/>
  <c r="E44" i="1"/>
  <c r="E42" i="14" s="1"/>
  <c r="E45" i="1" l="1"/>
  <c r="E43" i="14" s="1"/>
  <c r="D75" i="10" a="1"/>
  <c r="D75" i="10" s="1"/>
  <c r="D72" i="15"/>
  <c r="E20" i="14"/>
  <c r="M5" i="5"/>
  <c r="L5" i="5"/>
  <c r="O5" i="5" a="1"/>
  <c r="O5" i="5" s="1"/>
  <c r="N5" i="5" a="1"/>
  <c r="N5" i="5" s="1"/>
  <c r="T71" i="7"/>
  <c r="S71" i="7"/>
  <c r="R71" i="7"/>
  <c r="Q71" i="7"/>
  <c r="T70" i="7"/>
  <c r="S70" i="7"/>
  <c r="R70" i="7"/>
  <c r="Q70" i="7"/>
  <c r="Q69" i="7"/>
  <c r="T69" i="7"/>
  <c r="S69" i="7"/>
  <c r="R69" i="7"/>
  <c r="S43" i="7"/>
  <c r="R43" i="7"/>
  <c r="Q43" i="7"/>
  <c r="Q44" i="7"/>
  <c r="S44" i="7"/>
  <c r="R44" i="7"/>
  <c r="R45" i="7"/>
  <c r="Q45" i="7"/>
  <c r="S45" i="7"/>
  <c r="R16" i="7"/>
  <c r="S16" i="7"/>
  <c r="Q16" i="7"/>
  <c r="Q15" i="7"/>
  <c r="R15" i="7"/>
  <c r="S15" i="7"/>
  <c r="S17" i="7"/>
  <c r="Q17" i="7"/>
  <c r="R17" i="7"/>
  <c r="N55" i="8"/>
  <c r="O55" i="8" s="1"/>
  <c r="S55" i="8" s="1"/>
  <c r="T55" i="8" s="1"/>
  <c r="U55" i="8" s="1"/>
  <c r="X55" i="7" s="1"/>
  <c r="G31" i="1"/>
  <c r="G29" i="14" s="1"/>
  <c r="O57" i="8"/>
  <c r="S57" i="8" s="1"/>
  <c r="T57" i="8" s="1"/>
  <c r="U57" i="8" s="1"/>
  <c r="X57" i="7" s="1"/>
  <c r="I31" i="1"/>
  <c r="I29" i="14" s="1"/>
  <c r="G30" i="1"/>
  <c r="G28" i="14" s="1"/>
  <c r="G29" i="1"/>
  <c r="G27" i="14" s="1"/>
  <c r="E35" i="14"/>
  <c r="H31" i="1"/>
  <c r="H29" i="14" s="1"/>
  <c r="G39" i="1"/>
  <c r="G37" i="14" s="1"/>
  <c r="G35" i="1"/>
  <c r="G33" i="14" s="1"/>
  <c r="G33" i="1"/>
  <c r="G31" i="14" s="1"/>
  <c r="G43" i="1"/>
  <c r="G41" i="14" s="1"/>
  <c r="G34" i="1"/>
  <c r="G32" i="14" s="1"/>
  <c r="G53" i="1"/>
  <c r="G51" i="14" s="1"/>
  <c r="G42" i="1"/>
  <c r="G40" i="14" s="1"/>
  <c r="G41" i="1"/>
  <c r="G39" i="14" s="1"/>
  <c r="G37" i="1"/>
  <c r="G35" i="14" s="1"/>
  <c r="H52" i="1"/>
  <c r="H50" i="14" s="1"/>
  <c r="I52" i="1"/>
  <c r="I50" i="14" s="1"/>
  <c r="G38" i="1"/>
  <c r="G36" i="14" s="1"/>
  <c r="G52" i="1"/>
  <c r="G50" i="14" s="1"/>
  <c r="H53" i="1"/>
  <c r="H51" i="14" s="1"/>
  <c r="I53" i="1"/>
  <c r="I51" i="14" s="1"/>
  <c r="G40" i="1"/>
  <c r="G38" i="14" s="1"/>
  <c r="G36" i="1"/>
  <c r="G34" i="14" s="1"/>
  <c r="I70" i="7" l="1"/>
  <c r="Y70" i="7" s="1"/>
  <c r="I71" i="7"/>
  <c r="Y71" i="7" s="1"/>
  <c r="I69" i="7"/>
  <c r="Y69" i="7" s="1"/>
  <c r="I16" i="7"/>
  <c r="Y16" i="7" s="1"/>
  <c r="I17" i="7"/>
  <c r="Y17" i="7" s="1"/>
  <c r="I15" i="7"/>
  <c r="Y15" i="7" s="1"/>
  <c r="I45" i="7"/>
  <c r="I44" i="7"/>
  <c r="I43" i="7"/>
  <c r="Q55" i="7"/>
  <c r="S55" i="7"/>
  <c r="R55" i="7"/>
  <c r="I30" i="1"/>
  <c r="I28" i="14" s="1"/>
  <c r="I29" i="1"/>
  <c r="I27" i="14" s="1"/>
  <c r="H55" i="1"/>
  <c r="H53" i="14" s="1"/>
  <c r="I55" i="1"/>
  <c r="I53" i="14" s="1"/>
  <c r="G54" i="1"/>
  <c r="G52" i="14" s="1"/>
  <c r="I37" i="1"/>
  <c r="I35" i="14" s="1"/>
  <c r="I34" i="1"/>
  <c r="I32" i="14" s="1"/>
  <c r="I40" i="1"/>
  <c r="I38" i="14" s="1"/>
  <c r="I41" i="1"/>
  <c r="I39" i="14" s="1"/>
  <c r="I43" i="1"/>
  <c r="I41" i="14" s="1"/>
  <c r="I42" i="1"/>
  <c r="I40" i="14" s="1"/>
  <c r="J31" i="1"/>
  <c r="J29" i="14" s="1"/>
  <c r="I39" i="1"/>
  <c r="I37" i="14" s="1"/>
  <c r="I35" i="1"/>
  <c r="I33" i="14" s="1"/>
  <c r="E46" i="1"/>
  <c r="E44" i="14" s="1"/>
  <c r="I54" i="1"/>
  <c r="I52" i="14" s="1"/>
  <c r="I33" i="1"/>
  <c r="I31" i="14" s="1"/>
  <c r="G55" i="1"/>
  <c r="G53" i="14" s="1"/>
  <c r="I38" i="1"/>
  <c r="I36" i="14" s="1"/>
  <c r="H54" i="1"/>
  <c r="H52" i="14" s="1"/>
  <c r="I36" i="1"/>
  <c r="I34" i="14" s="1"/>
  <c r="U55" i="7" l="1"/>
  <c r="V55" i="7"/>
  <c r="S57" i="7"/>
  <c r="R57" i="7"/>
  <c r="Q57" i="7"/>
  <c r="H30" i="1"/>
  <c r="H28" i="14" s="1"/>
  <c r="H29" i="1"/>
  <c r="H27" i="14" s="1"/>
  <c r="G5" i="5"/>
  <c r="H5" i="5"/>
  <c r="P5" i="5" s="1"/>
  <c r="K29" i="5"/>
  <c r="B29" i="5" s="1"/>
  <c r="H36" i="1"/>
  <c r="H34" i="14" s="1"/>
  <c r="H33" i="1"/>
  <c r="H31" i="14" s="1"/>
  <c r="H39" i="1"/>
  <c r="H37" i="14" s="1"/>
  <c r="H42" i="1"/>
  <c r="H40" i="14" s="1"/>
  <c r="H41" i="1"/>
  <c r="H39" i="14" s="1"/>
  <c r="H34" i="1"/>
  <c r="H32" i="14" s="1"/>
  <c r="H35" i="1"/>
  <c r="H33" i="14" s="1"/>
  <c r="H43" i="1"/>
  <c r="H41" i="14" s="1"/>
  <c r="H40" i="1"/>
  <c r="H38" i="14" s="1"/>
  <c r="H37" i="1"/>
  <c r="H35" i="14" s="1"/>
  <c r="E48" i="1"/>
  <c r="E46" i="14" s="1"/>
  <c r="H38" i="1"/>
  <c r="H36" i="14" s="1"/>
  <c r="U57" i="7" l="1"/>
  <c r="V57" i="7"/>
  <c r="H28" i="7"/>
  <c r="H32" i="7"/>
  <c r="O64" i="7"/>
  <c r="O60" i="7"/>
  <c r="O61" i="7"/>
  <c r="O62" i="7"/>
  <c r="H69" i="7"/>
  <c r="O59" i="7"/>
  <c r="H49" i="7"/>
  <c r="Y47" i="7"/>
  <c r="H51" i="7"/>
  <c r="H33" i="7"/>
  <c r="Y44" i="7"/>
  <c r="H73" i="7"/>
  <c r="Y45" i="7"/>
  <c r="H22" i="7"/>
  <c r="Y50" i="7"/>
  <c r="H48" i="7"/>
  <c r="H43" i="7"/>
  <c r="H34" i="7"/>
  <c r="H71" i="7"/>
  <c r="O65" i="7"/>
  <c r="J30" i="1"/>
  <c r="J28" i="14" s="1"/>
  <c r="J29" i="1"/>
  <c r="J27" i="14" s="1"/>
  <c r="I6" i="5"/>
  <c r="I7" i="5"/>
  <c r="I5" i="5"/>
  <c r="J35" i="1"/>
  <c r="J33" i="14" s="1"/>
  <c r="J37" i="1"/>
  <c r="J43" i="1"/>
  <c r="J41" i="14" s="1"/>
  <c r="J34" i="1"/>
  <c r="J32" i="14" s="1"/>
  <c r="J33" i="1"/>
  <c r="J31" i="14" s="1"/>
  <c r="J40" i="1"/>
  <c r="J38" i="14" s="1"/>
  <c r="J41" i="1"/>
  <c r="J39" i="14" s="1"/>
  <c r="J39" i="1"/>
  <c r="J37" i="14" s="1"/>
  <c r="J36" i="1"/>
  <c r="J34" i="14" s="1"/>
  <c r="J38" i="1"/>
  <c r="J36" i="14" s="1"/>
  <c r="J42" i="1"/>
  <c r="J40" i="14" s="1"/>
  <c r="E47" i="1"/>
  <c r="E45" i="14" s="1"/>
  <c r="O57" i="7" l="1"/>
  <c r="K57" i="7" s="1"/>
  <c r="N65" i="7"/>
  <c r="Y64" i="7"/>
  <c r="K62" i="7"/>
  <c r="K61" i="7"/>
  <c r="K60" i="7"/>
  <c r="K59" i="7"/>
  <c r="H21" i="7"/>
  <c r="H29" i="7"/>
  <c r="H31" i="7"/>
  <c r="H25" i="7"/>
  <c r="H30" i="7"/>
  <c r="H70" i="7"/>
  <c r="C9" i="7"/>
  <c r="H23" i="7"/>
  <c r="H17" i="7"/>
  <c r="H15" i="7"/>
  <c r="Y51" i="7"/>
  <c r="H37" i="7"/>
  <c r="Y49" i="7"/>
  <c r="C10" i="7"/>
  <c r="H20" i="7"/>
  <c r="Y48" i="7"/>
  <c r="H41" i="7"/>
  <c r="H36" i="7"/>
  <c r="H24" i="7"/>
  <c r="H47" i="7"/>
  <c r="H19" i="7"/>
  <c r="H26" i="7"/>
  <c r="H16" i="7"/>
  <c r="H27" i="7"/>
  <c r="H44" i="7"/>
  <c r="H40" i="7"/>
  <c r="H45" i="7"/>
  <c r="H50" i="7"/>
  <c r="Y43" i="7"/>
  <c r="H38" i="7"/>
  <c r="J35" i="14"/>
  <c r="E49" i="1"/>
  <c r="E47" i="14" l="1"/>
  <c r="D65" i="10"/>
  <c r="D64" i="15" s="1"/>
  <c r="N62" i="7"/>
  <c r="Y61" i="7"/>
  <c r="N61" i="7"/>
  <c r="Y62" i="7"/>
  <c r="Y65" i="7"/>
  <c r="K65" i="7"/>
  <c r="K64" i="7"/>
  <c r="Y60" i="7"/>
  <c r="N64" i="7"/>
  <c r="N60" i="7"/>
  <c r="N59" i="7"/>
  <c r="Y57" i="7"/>
  <c r="N57" i="7"/>
  <c r="Y59" i="7"/>
  <c r="D76" i="15" l="1"/>
  <c r="R56" i="7" l="1"/>
  <c r="S56" i="7"/>
  <c r="Q56" i="7"/>
  <c r="U56" i="7" l="1"/>
  <c r="V56" i="7"/>
  <c r="O55" i="7"/>
  <c r="K55" i="7" s="1"/>
  <c r="Q76" i="7" l="1"/>
  <c r="B76" i="7" s="1"/>
  <c r="O56" i="7"/>
  <c r="N56" i="7" s="1"/>
  <c r="N55" i="7"/>
  <c r="Y55" i="7"/>
  <c r="K56" i="7" l="1"/>
  <c r="Y56" i="7"/>
  <c r="B85" i="10" l="1"/>
  <c r="E82" i="10" l="1"/>
  <c r="E81" i="15" s="1"/>
  <c r="AE16" i="11" l="1"/>
  <c r="AI27" i="11" s="1"/>
  <c r="AE53" i="11"/>
  <c r="AD54" i="11" s="1"/>
  <c r="D74" i="15"/>
  <c r="AE58" i="11" l="1"/>
  <c r="AH27" i="11"/>
  <c r="AG27" i="11"/>
  <c r="AF27" i="11"/>
  <c r="AE27" i="11"/>
  <c r="D76" i="10" l="1"/>
  <c r="D75" i="15" s="1"/>
  <c r="AD33" i="11"/>
  <c r="AD59" i="11" s="1"/>
  <c r="E81" i="10" s="1"/>
  <c r="E80" i="15" s="1"/>
  <c r="C80" i="10" l="1"/>
  <c r="C82" i="10" s="1"/>
  <c r="C81" i="15" s="1"/>
  <c r="C81" i="10" l="1"/>
  <c r="C80" i="15" s="1"/>
  <c r="C79" i="15"/>
</calcChain>
</file>

<file path=xl/sharedStrings.xml><?xml version="1.0" encoding="utf-8"?>
<sst xmlns="http://schemas.openxmlformats.org/spreadsheetml/2006/main" count="2214" uniqueCount="891">
  <si>
    <t>– Eintragen des neuen Basiszinssatz und des Anfangs- und Enddatums in die Zeile mit e</t>
  </si>
  <si>
    <t>Die Zeile nach der Zeile mit e dient ggf. der Auffüllung zum vollen Jahr.</t>
  </si>
  <si>
    <t>Obsiegen der Kläger gegen</t>
  </si>
  <si>
    <t>Obsiegen der Beklagten gegen</t>
  </si>
  <si>
    <t>D1</t>
  </si>
  <si>
    <t>Art und Höhe</t>
  </si>
  <si>
    <t>Datum (heute)</t>
  </si>
  <si>
    <t>Formelsammlung für den Zivilprozess</t>
  </si>
  <si>
    <t>D2</t>
  </si>
  <si>
    <t>Gerichtskosten</t>
  </si>
  <si>
    <t>Klage des K1</t>
  </si>
  <si>
    <t>Obsiegen des K1 gegen</t>
  </si>
  <si>
    <t>Klage des K2</t>
  </si>
  <si>
    <t>Obsiegen des K2 gegen</t>
  </si>
  <si>
    <t>K1+D1</t>
  </si>
  <si>
    <t>K1+K2</t>
  </si>
  <si>
    <t>K1+D2</t>
  </si>
  <si>
    <t>K2+D1</t>
  </si>
  <si>
    <t>K2+D2</t>
  </si>
  <si>
    <t>K1+K2+D1</t>
  </si>
  <si>
    <t>K1+K2+D2</t>
  </si>
  <si>
    <t>K1+D1+D2</t>
  </si>
  <si>
    <t>K2+D1+D2</t>
  </si>
  <si>
    <t>D1+D2</t>
  </si>
  <si>
    <t>K1+K2+D1+D2</t>
  </si>
  <si>
    <t xml:space="preserve">   Gericht/K2</t>
  </si>
  <si>
    <t xml:space="preserve">   Gericht/K1</t>
  </si>
  <si>
    <t xml:space="preserve">   K1</t>
  </si>
  <si>
    <t>II</t>
  </si>
  <si>
    <t>III</t>
  </si>
  <si>
    <t>IV</t>
  </si>
  <si>
    <t>V</t>
  </si>
  <si>
    <r>
      <t xml:space="preserve">– Unterhaltsfreibeträge für weitere Unterhaltsberechtigte (oben </t>
    </r>
    <r>
      <rPr>
        <b/>
        <sz val="10"/>
        <rFont val="Arial"/>
        <family val="2"/>
      </rPr>
      <t>D</t>
    </r>
    <r>
      <rPr>
        <sz val="10"/>
        <rFont val="Arial"/>
        <family val="2"/>
      </rPr>
      <t>)</t>
    </r>
  </si>
  <si>
    <r>
      <t xml:space="preserve">– Unterhaltsfreibeträge für Partei und Eheg./Lebensp. (oben </t>
    </r>
    <r>
      <rPr>
        <b/>
        <sz val="10"/>
        <rFont val="Arial"/>
        <family val="2"/>
      </rPr>
      <t>D</t>
    </r>
    <r>
      <rPr>
        <sz val="10"/>
        <rFont val="Arial"/>
        <family val="2"/>
      </rPr>
      <t>)</t>
    </r>
  </si>
  <si>
    <t xml:space="preserve">   K2</t>
  </si>
  <si>
    <t xml:space="preserve">   D1</t>
  </si>
  <si>
    <t xml:space="preserve">   D2</t>
  </si>
  <si>
    <t xml:space="preserve">   Schriftsatzfrist für neues Vorbringen gem. § 132 Abs. 1 ZPO</t>
  </si>
  <si>
    <t xml:space="preserve">   Schriftsatzfrist für Gegenvorbringen gem. § 132 Abs. 2 ZPO</t>
  </si>
  <si>
    <t>trägt/tragen:</t>
  </si>
  <si>
    <t>Kläger zu 1)</t>
  </si>
  <si>
    <t>Kläger zu 2)</t>
  </si>
  <si>
    <t>Drittwiderbeklagter zu 1)</t>
  </si>
  <si>
    <t>des Klägers zu 1)</t>
  </si>
  <si>
    <t>des Klägers zu 2)</t>
  </si>
  <si>
    <t>des Drittwiderbeklagten zu 1)</t>
  </si>
  <si>
    <t>des Drittwiderbeklagten zu 2)</t>
  </si>
  <si>
    <t>des Beklagten zu 1)</t>
  </si>
  <si>
    <t>des Beklagten zu 2)</t>
  </si>
  <si>
    <t>des Beklagten zu 3)</t>
  </si>
  <si>
    <t>des Beklagten zu 4)</t>
  </si>
  <si>
    <t>Beklagter zu 1)</t>
  </si>
  <si>
    <t>Beklagter zu 2)</t>
  </si>
  <si>
    <t>Beklagter zu 3)</t>
  </si>
  <si>
    <t>Beklagter zu 4)</t>
  </si>
  <si>
    <t>ohne Hemmung</t>
  </si>
  <si>
    <t>mit Hemmung</t>
  </si>
  <si>
    <r>
      <t>außergerichtliche Kosten</t>
    </r>
    <r>
      <rPr>
        <sz val="10"/>
        <rFont val="Arial"/>
        <family val="2"/>
      </rPr>
      <t xml:space="preserve"> …</t>
    </r>
  </si>
  <si>
    <t>ab 01.01.2014</t>
  </si>
  <si>
    <t>Ratenhöhe:</t>
  </si>
  <si>
    <t>Haftungsausschluss</t>
  </si>
  <si>
    <t>Thüringen (mit Fronleichnam)</t>
  </si>
  <si>
    <t>Sachsen (mit Fronleichnam)</t>
  </si>
  <si>
    <t>Bremen</t>
  </si>
  <si>
    <t>Hamburg</t>
  </si>
  <si>
    <t>Niedersachsen</t>
  </si>
  <si>
    <t>Schleswig-Holstein</t>
  </si>
  <si>
    <t>Bayern (mit Mariä Himmelfahrt)</t>
  </si>
  <si>
    <t>Bayern (mit Friedensfest und Mariä Himmelfahrt)</t>
  </si>
  <si>
    <t>Drittwbkl. zu 1)</t>
  </si>
  <si>
    <t>Drittwbkl. zu 2)</t>
  </si>
  <si>
    <r>
      <t>Rechtsanwaltsvergütung</t>
    </r>
    <r>
      <rPr>
        <sz val="10"/>
        <rFont val="Arial"/>
        <family val="2"/>
      </rPr>
      <t xml:space="preserve">, Wertgebühren gem. § 13 RVG (gesetzliche Vorgaben und 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</si>
  <si>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1,0-Wertgebühr</t>
    </r>
    <r>
      <rPr>
        <sz val="10"/>
        <rFont val="Arial"/>
        <family val="2"/>
      </rPr>
      <t xml:space="preserve"> gem. § 34 Abs. 1 GKG</t>
    </r>
  </si>
  <si>
    <r>
      <t>1,0-Wertgebühr</t>
    </r>
    <r>
      <rPr>
        <sz val="10"/>
        <rFont val="Arial"/>
        <family val="2"/>
      </rPr>
      <t xml:space="preserve"> gem. § 13 Abs. 1 RVG</t>
    </r>
  </si>
  <si>
    <t>§ 115 Abs. 3 ZPO</t>
  </si>
  <si>
    <t>Unterhaltsfreibetrag für …</t>
  </si>
  <si>
    <r>
      <t xml:space="preserve">– Erwerbstätigenfreibetrag (oben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)</t>
    </r>
  </si>
  <si>
    <t>Eheg./Lebensp.</t>
  </si>
  <si>
    <r>
      <t>Angaben zu den persönlichen und wirtschaftlichen Verhältnissen:</t>
    </r>
    <r>
      <rPr>
        <sz val="10"/>
        <rFont val="Arial"/>
        <family val="2"/>
      </rPr>
      <t xml:space="preserve"> Die Eingabemaske orientiert sich am amtlichen Formular gemäß PKHFV. Inwieweit die Angaben</t>
    </r>
  </si>
  <si>
    <t>hieraus zu übernehmen sind, muss eigenverantwortlich beurteilt werden. Insbesondere sind Abzüge nur insoweit einzutragen, als sie nach dem Gesetz abzugsfähig</t>
  </si>
  <si>
    <t xml:space="preserve">   Unterhalt</t>
  </si>
  <si>
    <t xml:space="preserve">   Arbeitslosengeld II</t>
  </si>
  <si>
    <t xml:space="preserve">   Krankengeld</t>
  </si>
  <si>
    <t xml:space="preserve">   Elterngeld</t>
  </si>
  <si>
    <t>Bruttoeinnahmen (monatlich) aus …</t>
  </si>
  <si>
    <t xml:space="preserve">   Fahrt zur Arbeit</t>
  </si>
  <si>
    <t xml:space="preserve">   Werbungskosten/Betriebsausgaben</t>
  </si>
  <si>
    <t xml:space="preserve">   Grundeigentum</t>
  </si>
  <si>
    <t xml:space="preserve">   Bargeld, Wertgegenstände</t>
  </si>
  <si>
    <t xml:space="preserve">   Lebens-, Rentenversicherungen</t>
  </si>
  <si>
    <t>– Der Beginn des Hemmungszeitraums muss vor seinem Ende liegen.</t>
  </si>
  <si>
    <t>Umständen auch dann mit ihrem vollen Wert einzustellen, wenn sie mit den Klageforderungen wirtschaftlich identisch sind (näher Anders/Gehle: Assessorexamen,</t>
  </si>
  <si>
    <t>gestellungen wird in den Erläuterungen hingewiesen. Im Übrigen sollte die Kommentarliteratur zu Rate gezogen werden.</t>
  </si>
  <si>
    <t>§ 6 Abs. 4 EGBGB; hier muss demnach der 31.12.2001 angegeben werden.</t>
  </si>
  <si>
    <t>beginn von Bedeutung sind (MünchKomm-BGB/Grothe, § 193, Rdnr. 8). Im Ergebnis bedeutet das, dass für das Ende der Verjährungsfrist § 193 BGB zu</t>
  </si>
  <si>
    <t>berücksichtigen ist (BGH NJW-RR 2008, 459, Tz. 13).</t>
  </si>
  <si>
    <t>– Der Beginn des Hemmungszeitraums darf spätestens am Tag des regulären Endes der Verjährungsfrist liegen.</t>
  </si>
  <si>
    <t>§ 204 II</t>
  </si>
  <si>
    <t>Hemmungsende</t>
  </si>
  <si>
    <t>Umsatzsteuersatz für anwaltliche Leistungen</t>
  </si>
  <si>
    <t>Bedienungshinweise</t>
  </si>
  <si>
    <t>Alle Ein- und Ausgaben erfolgen in EUR.</t>
  </si>
  <si>
    <t>Kontakt für Fragen, Anregungen und Fehlerhinweise</t>
  </si>
  <si>
    <t>Satz</t>
  </si>
  <si>
    <t>Staffel</t>
  </si>
  <si>
    <t>Beginn</t>
  </si>
  <si>
    <t>Ende</t>
  </si>
  <si>
    <t>Erhöhungsstufe</t>
  </si>
  <si>
    <t>Erhöhung</t>
  </si>
  <si>
    <t>Teilsumme</t>
  </si>
  <si>
    <t>1,0-Gebühr</t>
  </si>
  <si>
    <r>
      <t>Gerichtskosten</t>
    </r>
    <r>
      <rPr>
        <sz val="10"/>
        <rFont val="Arial"/>
        <family val="2"/>
      </rPr>
      <t xml:space="preserve"> gem. §§ 3, 34, Anlage 1 GKG</t>
    </r>
  </si>
  <si>
    <t>Für die Richtigkeit der rechtlichen Bewertungen und der Berechnungsergebnisse besteht trotz sorgfältiger Bearbeitung und Prüfung keine Gewähr.</t>
  </si>
  <si>
    <r>
      <t>1,0-Wertgebühr</t>
    </r>
    <r>
      <rPr>
        <sz val="10"/>
        <rFont val="Arial"/>
        <family val="2"/>
      </rPr>
      <t xml:space="preserve"> gem. § 34 GKG</t>
    </r>
  </si>
  <si>
    <t xml:space="preserve">   Nr. 1210 (Verfahrensgebühr, erster Rechtszug)</t>
  </si>
  <si>
    <t xml:space="preserve">   01.01.1900–30.04.2000</t>
  </si>
  <si>
    <t xml:space="preserve">   01.01.1900–heute</t>
  </si>
  <si>
    <t xml:space="preserve">   Nr. 1211 (Verfahrensgebühr bei vorzeitiger Verfahrensbeendigung)</t>
  </si>
  <si>
    <t xml:space="preserve">   Nr. 1220 (Verfahrensgebühr, Berufung)</t>
  </si>
  <si>
    <t xml:space="preserve">   Nr. 1230 (Verfahrensgebühr, Revision)</t>
  </si>
  <si>
    <t xml:space="preserve">   Nr. 2300 (Geschäftsgebühr, überdurchschnittlich)</t>
  </si>
  <si>
    <t xml:space="preserve">   Nr. 3200+3202 (Verfahrens- und Terminsgebühr, Berufung)</t>
  </si>
  <si>
    <t xml:space="preserve">   Nr. 3208+3210 (Verfahrens- und Terminsgebühr, Revision zum BGH)</t>
  </si>
  <si>
    <t xml:space="preserve">   Nr. 3206+3210 (Verfahrens- und Terminsgebühr, Revision zum OLG)</t>
  </si>
  <si>
    <t xml:space="preserve">   Nr. 7008 (Umsatzsteuer)</t>
  </si>
  <si>
    <t>Zwischensumme</t>
  </si>
  <si>
    <r>
      <t>einzelne Gebühren</t>
    </r>
    <r>
      <rPr>
        <sz val="10"/>
        <rFont val="Arial"/>
        <family val="2"/>
      </rPr>
      <t xml:space="preserve"> gem. KV-GKG</t>
    </r>
  </si>
  <si>
    <t>höchster vorgesehener Freibetrag</t>
  </si>
  <si>
    <t xml:space="preserve">   Ehegatte/Lebenspartner</t>
  </si>
  <si>
    <t>nein</t>
  </si>
  <si>
    <t>Nr. 7002</t>
  </si>
  <si>
    <t>Nr. 7008</t>
  </si>
  <si>
    <t>netto</t>
  </si>
  <si>
    <t>brutto</t>
  </si>
  <si>
    <t>Endsumme</t>
  </si>
  <si>
    <t>Endsumme netto</t>
  </si>
  <si>
    <t>Endsumme brutto</t>
  </si>
  <si>
    <t xml:space="preserve">   in der ersten Instanz durch Urteil</t>
  </si>
  <si>
    <t xml:space="preserve">   in der ersten Instanz durch Vergleich</t>
  </si>
  <si>
    <t xml:space="preserve">   in der zweiten Instanz durch Urteil</t>
  </si>
  <si>
    <t>Gebühr</t>
  </si>
  <si>
    <r>
      <t>Rechtsanwaltsvergütung</t>
    </r>
    <r>
      <rPr>
        <sz val="10"/>
        <rFont val="Arial"/>
        <family val="2"/>
      </rPr>
      <t xml:space="preserve"> gem. §§ 2, 13, Anlage 1 RVG</t>
    </r>
  </si>
  <si>
    <t xml:space="preserve">   Nr. 3100 (Verfahrensgebühr, erster Rechtszug)</t>
  </si>
  <si>
    <t>freie Eingabe</t>
  </si>
  <si>
    <t>Prozesskostenrechner</t>
  </si>
  <si>
    <t>bis 31.07.2013</t>
  </si>
  <si>
    <t xml:space="preserve">   Nr. 3100+3104 (Verfahrens- und Terminsgebühr, erster Rechtszug)</t>
  </si>
  <si>
    <t>bis 31.12.2013</t>
  </si>
  <si>
    <t>Erläuterungen s. unten</t>
  </si>
  <si>
    <t>PKHFV: Prozesskostenhilfeformularverordnung vom 06.01.2014 (BGBl. I S. 34)</t>
  </si>
  <si>
    <t>Erläuterungen</t>
  </si>
  <si>
    <t xml:space="preserve">   in der zweiten Instanz durch Vergleich</t>
  </si>
  <si>
    <t>Betrag</t>
  </si>
  <si>
    <t>Zinsbeginn</t>
  </si>
  <si>
    <t>Zinsende</t>
  </si>
  <si>
    <t>Zinstage</t>
  </si>
  <si>
    <t>Endbetrag</t>
  </si>
  <si>
    <t>Datum</t>
  </si>
  <si>
    <t>Basiszinssatz</t>
  </si>
  <si>
    <t>Gebräuchliche Zinssätze</t>
  </si>
  <si>
    <t>Verzugszinsen allgemein</t>
  </si>
  <si>
    <t>4 %</t>
  </si>
  <si>
    <t>§ 288 Abs. 1 Satz 1 BGB</t>
  </si>
  <si>
    <t>nominal</t>
  </si>
  <si>
    <t>°: erstes (Rumpf-)Jahr nach Ende des Basiszinszeitraums einschließlich Auffüllung, sofern nach dem Basiszinszeitraum beginnend</t>
  </si>
  <si>
    <t>PKHB 2013</t>
  </si>
  <si>
    <r>
      <t>einzusetzendes Einkommen</t>
    </r>
    <r>
      <rPr>
        <sz val="10"/>
        <rFont val="Arial"/>
        <family val="2"/>
      </rPr>
      <t xml:space="preserve"> und </t>
    </r>
    <r>
      <rPr>
        <b/>
        <sz val="10"/>
        <rFont val="Arial"/>
        <family val="2"/>
      </rPr>
      <t>Höhe der Monatsraten</t>
    </r>
    <r>
      <rPr>
        <sz val="10"/>
        <rFont val="Arial"/>
        <family val="2"/>
      </rPr>
      <t xml:space="preserve"> gem. § 115 Abs. 3 ZPO (gesetzliche Vorgaben und 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</si>
  <si>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t xml:space="preserve">   01.01.2002–28.07.2014</t>
  </si>
  <si>
    <t xml:space="preserve">   29.07.2014–heute</t>
  </si>
  <si>
    <t>9 Prozentpunkte über Basiszinssatz</t>
  </si>
  <si>
    <r>
      <t>einzusetzendes Einkommen</t>
    </r>
    <r>
      <rPr>
        <sz val="10"/>
        <rFont val="Arial"/>
        <family val="2"/>
      </rPr>
      <t xml:space="preserve"> und </t>
    </r>
    <r>
      <rPr>
        <b/>
        <sz val="10"/>
        <rFont val="Arial"/>
        <family val="2"/>
      </rPr>
      <t>Höhe der Monatsraten</t>
    </r>
    <r>
      <rPr>
        <sz val="10"/>
        <rFont val="Arial"/>
        <family val="2"/>
      </rPr>
      <t xml:space="preserve"> </t>
    </r>
    <r>
      <rPr>
        <sz val="10"/>
        <color indexed="12"/>
        <rFont val="Arial"/>
        <family val="2"/>
      </rPr>
      <t>in Abhängigkeit vom Gesetzesstand</t>
    </r>
    <r>
      <rPr>
        <sz val="10"/>
        <rFont val="Arial"/>
        <family val="2"/>
      </rPr>
      <t xml:space="preserve"> 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</si>
  <si>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Gerichtskosten</t>
    </r>
    <r>
      <rPr>
        <sz val="10"/>
        <rFont val="Arial"/>
        <family val="2"/>
      </rPr>
      <t xml:space="preserve"> </t>
    </r>
    <r>
      <rPr>
        <sz val="10"/>
        <color indexed="12"/>
        <rFont val="Arial"/>
        <family val="2"/>
      </rPr>
      <t>in Abhängigkeit vom Gesetzesstand</t>
    </r>
    <r>
      <rPr>
        <sz val="10"/>
        <rFont val="Arial"/>
        <family val="2"/>
      </rPr>
      <t xml:space="preserve"> 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</si>
  <si>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Rechtanwaltsvergütung</t>
    </r>
    <r>
      <rPr>
        <sz val="10"/>
        <rFont val="Arial"/>
        <family val="2"/>
      </rPr>
      <t xml:space="preserve"> </t>
    </r>
    <r>
      <rPr>
        <sz val="10"/>
        <color indexed="12"/>
        <rFont val="Arial"/>
        <family val="2"/>
      </rPr>
      <t>in Abhängigkeit vom Gesetzesstand</t>
    </r>
    <r>
      <rPr>
        <sz val="10"/>
        <rFont val="Arial"/>
        <family val="2"/>
      </rPr>
      <t xml:space="preserve"> 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</si>
  <si>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t>PKHB</t>
  </si>
  <si>
    <t xml:space="preserve">   gültig von</t>
  </si>
  <si>
    <t xml:space="preserve">   gültig bis</t>
  </si>
  <si>
    <r>
      <t>Gesetzesstand</t>
    </r>
    <r>
      <rPr>
        <sz val="10"/>
        <rFont val="Arial"/>
        <family val="2"/>
      </rPr>
      <t xml:space="preserve"> (ZPO):</t>
    </r>
  </si>
  <si>
    <t>°°°: letztes (Rumpf-)Jahr nach Ende des Basiszinszeitraums einschließlich Auffüllung, sofern mehrere Jahre</t>
  </si>
  <si>
    <t xml:space="preserve">   01.05.2000–31.12.2001</t>
  </si>
  <si>
    <t xml:space="preserve">   01.01.2002–heute</t>
  </si>
  <si>
    <t>§ 288 Abs. 1 Satz 2 BGB</t>
  </si>
  <si>
    <t>Verzugszinsen für Entgeltforderungen ohne Verbraucherbeteiligung</t>
  </si>
  <si>
    <t>§ 288 Abs. 2 BGB</t>
  </si>
  <si>
    <t>Verzugszinsen für beiderseitige Handelsgeschäfte</t>
  </si>
  <si>
    <t>5 %</t>
  </si>
  <si>
    <t>§ 352 Abs. 1 Satz 1 HGB</t>
  </si>
  <si>
    <r>
      <t>Bewilligungsinstanz:</t>
    </r>
    <r>
      <rPr>
        <sz val="10"/>
        <rFont val="Arial"/>
        <family val="2"/>
      </rPr>
      <t xml:space="preserve"> Die Angabe ist relevant für die Berechnung der voraussichtlichen Prozesskosten (s. unten </t>
    </r>
    <r>
      <rPr>
        <b/>
        <sz val="10"/>
        <color indexed="10"/>
        <rFont val="Arial"/>
        <family val="2"/>
      </rPr>
      <t>III</t>
    </r>
    <r>
      <rPr>
        <sz val="10"/>
        <rFont val="Arial"/>
        <family val="2"/>
      </rPr>
      <t>).</t>
    </r>
  </si>
  <si>
    <t>PKHB 2014</t>
  </si>
  <si>
    <t xml:space="preserve">   01.05.2000–heute</t>
  </si>
  <si>
    <t>Fälligkeitszinsen für beiderseitige Handelsgeschäfte</t>
  </si>
  <si>
    <t>Zinssatz p. a.</t>
  </si>
  <si>
    <t>Bezugsgröße</t>
  </si>
  <si>
    <t>Zinszeitraum 1</t>
  </si>
  <si>
    <t>Zinszeitraum 2</t>
  </si>
  <si>
    <t>Zinszeitraum 3</t>
  </si>
  <si>
    <t>von</t>
  </si>
  <si>
    <t>bis</t>
  </si>
  <si>
    <t>Schaltjahre</t>
  </si>
  <si>
    <t>Zinssatz</t>
  </si>
  <si>
    <t>Zinsen</t>
  </si>
  <si>
    <t>Zinsrechner</t>
  </si>
  <si>
    <t>Berlin</t>
  </si>
  <si>
    <r>
      <t>Ergebnis</t>
    </r>
    <r>
      <rPr>
        <sz val="10"/>
        <rFont val="Arial"/>
        <family val="2"/>
      </rPr>
      <t/>
    </r>
  </si>
  <si>
    <r>
      <t xml:space="preserve">Der </t>
    </r>
    <r>
      <rPr>
        <b/>
        <sz val="10"/>
        <color indexed="54"/>
        <rFont val="Arial"/>
        <family val="2"/>
      </rPr>
      <t>Fristenrechner</t>
    </r>
    <r>
      <rPr>
        <sz val="10"/>
        <rFont val="Arial"/>
        <family val="2"/>
      </rPr>
      <t xml:space="preserve"> berechnet bei einem gegebenen Fristbeginn das Fristende. Häufig vorkommende prozessuale und materiell-rechtliche Fristen einschließlich</t>
    </r>
  </si>
  <si>
    <t>www.zivilprozessrechner.de</t>
  </si>
  <si>
    <r>
      <t>Prozessuale Fristen</t>
    </r>
    <r>
      <rPr>
        <sz val="10"/>
        <rFont val="Arial"/>
        <family val="2"/>
      </rPr>
      <t xml:space="preserve"> (Berechnung gem. § 222 ZPO, §§ 187 Abs. 1, 188 BGB)</t>
    </r>
  </si>
  <si>
    <r>
      <t>freie Eingabe für Fristen</t>
    </r>
    <r>
      <rPr>
        <sz val="10"/>
        <rFont val="Arial"/>
        <family val="2"/>
      </rPr>
      <t xml:space="preserve"> von …</t>
    </r>
  </si>
  <si>
    <t>Monaten</t>
  </si>
  <si>
    <t>Wochen</t>
  </si>
  <si>
    <t>Tagen</t>
  </si>
  <si>
    <r>
      <t>Notfristen</t>
    </r>
    <r>
      <rPr>
        <sz val="10"/>
        <rFont val="Arial"/>
        <family val="2"/>
      </rPr>
      <t xml:space="preserve"> von …</t>
    </r>
  </si>
  <si>
    <r>
      <t xml:space="preserve">   </t>
    </r>
    <r>
      <rPr>
        <sz val="10"/>
        <rFont val="Arial"/>
        <family val="2"/>
      </rPr>
      <t xml:space="preserve">Verteidigungsanzeige </t>
    </r>
    <r>
      <rPr>
        <sz val="10"/>
        <rFont val="Arial"/>
        <family val="2"/>
      </rPr>
      <t>gem. § 276 Abs. 1 Satz 1 ZPO</t>
    </r>
  </si>
  <si>
    <t xml:space="preserve">   Einspruch gem. § 339 Abs. 1 ZPO</t>
  </si>
  <si>
    <t xml:space="preserve">   Berufung gem. § 517 ZPO</t>
  </si>
  <si>
    <t xml:space="preserve">      Berufungsbegründung gem. § 520 Abs. 2 Satz 1 ZPO (keine Notfrist)</t>
  </si>
  <si>
    <t xml:space="preserve">   Revision gem. § 548 ZPO</t>
  </si>
  <si>
    <t xml:space="preserve">      Revisionsbegründung gem. § 551 Abs. 2 Satz 2 ZPO (keine Notfrist)</t>
  </si>
  <si>
    <t xml:space="preserve">   sofortige Beschwerde gem. § 569 Abs. 1 Satz 1 ZPO</t>
  </si>
  <si>
    <t xml:space="preserve">      sofortige Beschwerde gegen PKH-Ablehnung gem. § 127 Abs. 2 Satz 3 ZPO</t>
  </si>
  <si>
    <t xml:space="preserve">   Erinnerung gem. § 573 Abs. 1 Satz 1 ZPO</t>
  </si>
  <si>
    <t xml:space="preserve">   Tatbestandsberichtigungsantrag gem. § 320 Abs. 1 ZPO</t>
  </si>
  <si>
    <t xml:space="preserve">      Ausschlussfrist gem. § 320 Abs. 2 Satz 2 ZPO</t>
  </si>
  <si>
    <t xml:space="preserve">   Gehörsrüge gem. § 321a Abs. 2 Satz 1 ZPO</t>
  </si>
  <si>
    <t xml:space="preserve">   Wiedereinsetzung gem. § 234 Abs. 1 Satz 1 ZPO</t>
  </si>
  <si>
    <t xml:space="preserve">      Wiedereinsetzung gem. § 234 Abs. 1 Satz 2 ZPO</t>
  </si>
  <si>
    <t xml:space="preserve">   Erklärung zur Erledigung gem. § 91a Abs. 1 Satz 2 ZPO</t>
  </si>
  <si>
    <t xml:space="preserve">   Erklärung zur Klagerücknahme gem. § 269 Abs. 2 Satz 3 ZPO</t>
  </si>
  <si>
    <r>
      <t>Fristen für richterliche Handlungen</t>
    </r>
    <r>
      <rPr>
        <sz val="10"/>
        <rFont val="Arial"/>
        <family val="2"/>
      </rPr>
      <t xml:space="preserve"> von …</t>
    </r>
  </si>
  <si>
    <t xml:space="preserve">   Verkündungstermin gem. § 310 Abs. 1 Satz 2 ZPO</t>
  </si>
  <si>
    <t xml:space="preserve">   Abfassung eines Stuhlurteils gem. § 315 Abs. 2 Satz 1 ZPO</t>
  </si>
  <si>
    <t xml:space="preserve">   Entscheidung im schriftlichen Verfahren gem. § 128 Abs. 2 Satz 2 ZPO</t>
  </si>
  <si>
    <r>
      <t>sonstige prozessuale Fristen</t>
    </r>
    <r>
      <rPr>
        <sz val="10"/>
        <rFont val="Arial"/>
        <family val="2"/>
      </rPr>
      <t xml:space="preserve"> von …</t>
    </r>
  </si>
  <si>
    <t xml:space="preserve">   Bewirkung der Zustellung bei Aufgabe zur Post gem. § 184 Abs. 2 Satz 1 ZPO</t>
  </si>
  <si>
    <t xml:space="preserve">   Bewirkung der öffentlichen Zustellung gem. § 188 Satz 1 ZPO</t>
  </si>
  <si>
    <t>Fristbeginn</t>
  </si>
  <si>
    <t xml:space="preserve">   Einlassungsfrist gem. § 274 Abs. 3 Satz 1 ZPO</t>
  </si>
  <si>
    <t xml:space="preserve">   Ladungsfrist im Anwaltsprozess gem. § 217 Var. 1 ZPO</t>
  </si>
  <si>
    <t xml:space="preserve">   Ladungsfrist im Parteiprozess gem. § 217 Var. 2 ZPO</t>
  </si>
  <si>
    <t>Jahren</t>
  </si>
  <si>
    <t>ab</t>
  </si>
  <si>
    <t>Ereignis</t>
  </si>
  <si>
    <t xml:space="preserve">   Regelverjährung gem. §§ 195, 199 Abs. 1 BGB</t>
  </si>
  <si>
    <t>Jahresende</t>
  </si>
  <si>
    <t xml:space="preserve">   30jährige Verjährung gem. § 197 BGB</t>
  </si>
  <si>
    <t xml:space="preserve">   2jährige Verjährung gem. §§ 438 Abs. 1 Nr. 3, 634a Abs. 1 Nr. 1 BGB</t>
  </si>
  <si>
    <t xml:space="preserve">   5jährige Verjährung gem. §§ 438 Abs. 1 Nr. 2, 634a Abs. 1 Nr. 2 BGB</t>
  </si>
  <si>
    <t>Im Eingabefeld ist z. B. der Terminstag einzugeben; das Ergebnisfeld zeigt sodann den Tag, an dem die Zustellung spätestens bewirkt worden sein muss.</t>
  </si>
  <si>
    <t>Fällt der Tag, an dem die Zustellung bewirkt worden sein muss, auf einen Sonntag oder Feiertag, wird als Ergebnis der letzte Werktag (einschließlich Sonn-</t>
  </si>
  <si>
    <t>abend) vor diesem Tag ausgegeben, da in der Regel an Sonn- und Feiertagen keine Zustellungen erfolgen. Der Fall, dass z. B. der Terminstag auf einen</t>
  </si>
  <si>
    <t xml:space="preserve">Sonntag, Feiertag oder Sonnabend fällt, wird nicht besonders behandelt. </t>
  </si>
  <si>
    <r>
      <t>Maßgebliches Ereignis:</t>
    </r>
    <r>
      <rPr>
        <sz val="10"/>
        <rFont val="Arial"/>
        <family val="2"/>
      </rPr>
      <t xml:space="preserve"> Der Fristenrechner geht davon aus, dass das für den Fristbeginn maßgebliche Ereignis in den Verlauf des angegebenen Tages fällt,</t>
    </r>
  </si>
  <si>
    <t>so dass die Frist mit Ablauf dieses Tages beginnt, § 187 Abs. 1 BGB. Sofern ausnahmsweise gem. § 187 Abs. 2 BGB der Beginn des Tages maßgeblich</t>
  </si>
  <si>
    <r>
      <t>Feiertagsregelung:</t>
    </r>
    <r>
      <rPr>
        <sz val="10"/>
        <rFont val="Arial"/>
        <family val="2"/>
      </rPr>
      <t xml:space="preserve"> Die für den Fristablauf bedeutsame Feiertagsfunktion (§ 193 BGB, § 222 Abs. 2 ZPO) berücksichtigt den Zeitraum von 5 Jahren vor bis</t>
    </r>
  </si>
  <si>
    <t>Einige der nicht bundeseinheitlichen Feiertage gelten in einigen Bundesländern nicht landesweit. Wegen der Einzelheiten sind die Feiertagsgesetze der</t>
  </si>
  <si>
    <t>Länder zu Rate zu ziehen.</t>
  </si>
  <si>
    <r>
      <t>Verjährungsfristen:</t>
    </r>
    <r>
      <rPr>
        <sz val="10"/>
        <rFont val="Arial"/>
        <family val="2"/>
      </rPr>
      <t xml:space="preserve"> § 193 BGB ist auf Rechtshandlungen analog anzuwenden, die für die Hemmung der Verjährung (z. B. Klageerhebung) oder deren Neu-</t>
    </r>
  </si>
  <si>
    <r>
      <t>Hemmung:</t>
    </r>
    <r>
      <rPr>
        <sz val="10"/>
        <rFont val="Arial"/>
        <family val="2"/>
      </rPr>
      <t xml:space="preserve"> Für die Hemmung werden der Tag, in dessen Verlauf der Hemmungsgrund entsteht, und der Tag, in dessen Verlauf er wegfällt, mitgerechnet</t>
    </r>
  </si>
  <si>
    <t>– Beginn und Ende des Hemmungszeitraums müssen angegeben werden.</t>
  </si>
  <si>
    <r>
      <t>Gesetzesstand:</t>
    </r>
    <r>
      <rPr>
        <sz val="10"/>
        <rFont val="Arial"/>
        <family val="2"/>
      </rPr>
      <t xml:space="preserve"> Der Fristenrechner geht für die fest vorgegebenen Verjährungsfristen unabhängig vom eingegebenen Fristbeginn immer vom aktuellen oder</t>
    </r>
  </si>
  <si>
    <t>Schuldrechtsmodernisierungsgesetz gem. Art. 229 § 6 EGBGB nicht berücksichtigt. Deren Auswirkungen sind ggf. eigenverantwortlich zu prüfen.</t>
  </si>
  <si>
    <r>
      <t xml:space="preserve">Für </t>
    </r>
    <r>
      <rPr>
        <b/>
        <sz val="10"/>
        <rFont val="Arial"/>
        <family val="2"/>
      </rPr>
      <t>Feiertagsregelung</t>
    </r>
    <r>
      <rPr>
        <sz val="10"/>
        <rFont val="Arial"/>
        <family val="2"/>
      </rPr>
      <t xml:space="preserve"> maßgebliches </t>
    </r>
    <r>
      <rPr>
        <b/>
        <sz val="10"/>
        <rFont val="Arial"/>
        <family val="2"/>
      </rPr>
      <t>Bundesland</t>
    </r>
  </si>
  <si>
    <r>
      <t>freie Eingabe für Rückwärtsfristen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von …</t>
    </r>
  </si>
  <si>
    <r>
      <t>Rückwärtsfristen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von …</t>
    </r>
  </si>
  <si>
    <r>
      <t>Rückwärtsfristen:</t>
    </r>
    <r>
      <rPr>
        <sz val="10"/>
        <rFont val="Arial"/>
        <family val="2"/>
      </rPr>
      <t xml:space="preserve"> s. oben </t>
    </r>
    <r>
      <rPr>
        <b/>
        <sz val="10"/>
        <color indexed="10"/>
        <rFont val="Arial"/>
        <family val="2"/>
      </rPr>
      <t>I</t>
    </r>
    <r>
      <rPr>
        <sz val="10"/>
        <rFont val="Arial"/>
        <family val="2"/>
      </rPr>
      <t>.</t>
    </r>
  </si>
  <si>
    <r>
      <t>Verjährungsfristen</t>
    </r>
    <r>
      <rPr>
        <sz val="10"/>
        <rFont val="Arial"/>
        <family val="2"/>
      </rPr>
      <t xml:space="preserve"> (Berechnung gem. §§ 187 Abs. 1, 188, 193 analog </t>
    </r>
    <r>
      <rPr>
        <sz val="10"/>
        <rFont val="Arial"/>
        <family val="2"/>
      </rPr>
      <t>BGB)</t>
    </r>
  </si>
  <si>
    <t>Hemmung</t>
  </si>
  <si>
    <r>
      <t>allgemeine Verjährungsfristen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von …</t>
    </r>
  </si>
  <si>
    <r>
      <t>Verjährungsfristen für Mängelgewährleistungsansprüche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von …</t>
    </r>
  </si>
  <si>
    <t>im Einzelfall angegebenen Gesetzesstand aus. Insbesondere werden auch die Übergangsregelungen ab dem 01.01.2002 im Zusammenhang mit dem</t>
  </si>
  <si>
    <r>
      <t xml:space="preserve">Für </t>
    </r>
    <r>
      <rPr>
        <b/>
        <sz val="10"/>
        <rFont val="Arial"/>
        <family val="2"/>
      </rPr>
      <t>Fristbeginn</t>
    </r>
    <r>
      <rPr>
        <sz val="10"/>
        <rFont val="Arial"/>
        <family val="2"/>
      </rPr>
      <t xml:space="preserve"> (bei Rückwärtsfristen: </t>
    </r>
    <r>
      <rPr>
        <b/>
        <sz val="10"/>
        <rFont val="Arial"/>
        <family val="2"/>
      </rPr>
      <t>Fristende</t>
    </r>
    <r>
      <rPr>
        <sz val="10"/>
        <rFont val="Arial"/>
        <family val="2"/>
      </rPr>
      <t xml:space="preserve">) maßgebliches </t>
    </r>
    <r>
      <rPr>
        <b/>
        <sz val="10"/>
        <rFont val="Arial"/>
        <family val="2"/>
      </rPr>
      <t>Ereignis</t>
    </r>
  </si>
  <si>
    <t>Zielmonat</t>
  </si>
  <si>
    <t>Tage Zielmonat?</t>
  </si>
  <si>
    <t>+Monate</t>
  </si>
  <si>
    <t>+Wochen+Tage</t>
  </si>
  <si>
    <t>+Feiertage</t>
  </si>
  <si>
    <t>+Sams-/Sonntage</t>
  </si>
  <si>
    <t>Rückwärtsfristen</t>
  </si>
  <si>
    <t>–Monate</t>
  </si>
  <si>
    <t>–Wochen–Tage</t>
  </si>
  <si>
    <t>–Feiertage</t>
  </si>
  <si>
    <t>–Sonntage</t>
  </si>
  <si>
    <t>+Hemmungstage</t>
  </si>
  <si>
    <t>+Jahre+Monate</t>
  </si>
  <si>
    <t>+Wochen</t>
  </si>
  <si>
    <t>Jahr</t>
  </si>
  <si>
    <t>Bundesländer</t>
  </si>
  <si>
    <t>Neujahr</t>
  </si>
  <si>
    <t>Heilige drei Könige</t>
  </si>
  <si>
    <t>Baden-Württemberg</t>
  </si>
  <si>
    <t>Bayern</t>
  </si>
  <si>
    <t>Sachsen-Anhalt</t>
  </si>
  <si>
    <t>Karfreitag</t>
  </si>
  <si>
    <t>Ostersonntag</t>
  </si>
  <si>
    <t>Ostermontag</t>
  </si>
  <si>
    <t>Himmelfahrt</t>
  </si>
  <si>
    <t>Pfingstmontag</t>
  </si>
  <si>
    <t>Frohnleichnam</t>
  </si>
  <si>
    <t>Hessen</t>
  </si>
  <si>
    <t>Nordrhein-Westfalen</t>
  </si>
  <si>
    <t>Rheinland-Pfalz</t>
  </si>
  <si>
    <t>Saarland</t>
  </si>
  <si>
    <t>Friedensfest</t>
  </si>
  <si>
    <t>Mariä Himmelfahrt</t>
  </si>
  <si>
    <t>Tag der Einheit</t>
  </si>
  <si>
    <t>Reformationstag</t>
  </si>
  <si>
    <t>Brandenburg</t>
  </si>
  <si>
    <t>Mecklenburg-Vorpommern</t>
  </si>
  <si>
    <t>Sachsen</t>
  </si>
  <si>
    <t>Thüringen</t>
  </si>
  <si>
    <t>Allerheiligen</t>
  </si>
  <si>
    <t>Volkstrauertag</t>
  </si>
  <si>
    <t>Buß- und Bettag</t>
  </si>
  <si>
    <t>Totensonntag</t>
  </si>
  <si>
    <t>1. Advent</t>
  </si>
  <si>
    <t>1. Weihnachtstag</t>
  </si>
  <si>
    <t>2. Weihnachtstag</t>
  </si>
  <si>
    <t>Fristenrechner</t>
  </si>
  <si>
    <t>Erster Mai</t>
  </si>
  <si>
    <t>Festsetzung von Monatsraten?</t>
  </si>
  <si>
    <t>§§ 115 Abs. 2, 120 Abs. 1 ZPO</t>
  </si>
  <si>
    <t>§§ 115 Abs. 3, 120 Abs. 1 Satz 1 ZPO</t>
  </si>
  <si>
    <t>Festsetzung aus dem Vermögen zu zahlender Beträge?</t>
  </si>
  <si>
    <t>Rechtsgrundlagen</t>
  </si>
  <si>
    <t>A</t>
  </si>
  <si>
    <t>B</t>
  </si>
  <si>
    <t>C</t>
  </si>
  <si>
    <t>D</t>
  </si>
  <si>
    <t xml:space="preserve">   lfd. Nr. 2</t>
  </si>
  <si>
    <t xml:space="preserve">   lfd. Nr. 3</t>
  </si>
  <si>
    <t xml:space="preserve">   lfd. Nr. 4</t>
  </si>
  <si>
    <t>E</t>
  </si>
  <si>
    <t>erstes Jahr *</t>
  </si>
  <si>
    <t>ganze Jahre davor **</t>
  </si>
  <si>
    <t>Rumpfjahr davor ***</t>
  </si>
  <si>
    <t>Rumpfjahr danach °</t>
  </si>
  <si>
    <t>ganze Jahre danach °°</t>
  </si>
  <si>
    <t>letztes Jahr °°°</t>
  </si>
  <si>
    <t>**: ganze Jahre zwischen * und ***</t>
  </si>
  <si>
    <t>°°: ganze Jahre zwischen ° und °°°</t>
  </si>
  <si>
    <t>*: erstes (Rumpf-)Jahr vor Beginn des Basiszinszeitraums</t>
  </si>
  <si>
    <t>***: letztes (Rumpf-)Jahr vor Beginn des Basiszinszeitraums, sofern vor dem Basiszinszeitraum endend</t>
  </si>
  <si>
    <t>Partei</t>
  </si>
  <si>
    <t>§ 115 Abs. 1 Satz 1, 2 ZPO</t>
  </si>
  <si>
    <t xml:space="preserve">   nichtselbständiger Arbeit</t>
  </si>
  <si>
    <t xml:space="preserve">   selbständiger Arbeit etc.</t>
  </si>
  <si>
    <t xml:space="preserve">   Status</t>
  </si>
  <si>
    <t>aktuell</t>
  </si>
  <si>
    <t xml:space="preserve">   Vermietung und Verpachtung</t>
  </si>
  <si>
    <t xml:space="preserve">   Kapitalvermögen</t>
  </si>
  <si>
    <t xml:space="preserve">   Wohngeld</t>
  </si>
  <si>
    <t>F</t>
  </si>
  <si>
    <t>Abzüge (monatlich) durch …</t>
  </si>
  <si>
    <t>§ 115 Abs. 1 Satz 3 Nr. 1 a) ZPO, § 82 Abs. 2 SGB XII</t>
  </si>
  <si>
    <t xml:space="preserve">   Sozialversicherungsbeiträge</t>
  </si>
  <si>
    <t xml:space="preserve">   sonstige Versicherungen</t>
  </si>
  <si>
    <t>G</t>
  </si>
  <si>
    <t>H</t>
  </si>
  <si>
    <t>Wohnkosten (monatlich)</t>
  </si>
  <si>
    <t>§ 115 Abs. 1 Satz 3 Nr. 3 ZPO</t>
  </si>
  <si>
    <t xml:space="preserve">   darauf gezahlter Betrag</t>
  </si>
  <si>
    <t>I</t>
  </si>
  <si>
    <t>sonstige Zahlungsverpflichtungen (monatlich)</t>
  </si>
  <si>
    <t>J</t>
  </si>
  <si>
    <t>besondere Belastungen (monatlich)</t>
  </si>
  <si>
    <t>§ 115 Abs. 4 ZPO</t>
  </si>
  <si>
    <r>
      <t xml:space="preserve">Einkommen (oben </t>
    </r>
    <r>
      <rPr>
        <b/>
        <sz val="10"/>
        <rFont val="Arial"/>
        <family val="2"/>
      </rPr>
      <t>E</t>
    </r>
    <r>
      <rPr>
        <sz val="10"/>
        <rFont val="Arial"/>
        <family val="2"/>
      </rPr>
      <t>)</t>
    </r>
  </si>
  <si>
    <t>§ 115 Abs. 2 ZPO</t>
  </si>
  <si>
    <t>Bewilligung von Prozesskostenhilfe?</t>
  </si>
  <si>
    <t>Rechtsgrundlage</t>
  </si>
  <si>
    <t>Erwerbstätigenfreibetrag</t>
  </si>
  <si>
    <t xml:space="preserve">   die Partei</t>
  </si>
  <si>
    <t xml:space="preserve">   den Ehegatten/Lebenspartner</t>
  </si>
  <si>
    <t>Unterhaltsfreibeträge wegen gesetzlicher Unterhaltspflicht für …</t>
  </si>
  <si>
    <t>Alter</t>
  </si>
  <si>
    <t>Ratenhöhe</t>
  </si>
  <si>
    <t xml:space="preserve">   Erwachsene</t>
  </si>
  <si>
    <t xml:space="preserve">   Jugendliche von 14 bis unter 18 Jahren</t>
  </si>
  <si>
    <t xml:space="preserve">   Kinder von 6 bis unter 14 Jahren</t>
  </si>
  <si>
    <t xml:space="preserve">   Kinder bis unter 6 Jahren</t>
  </si>
  <si>
    <t>Unterhaltsfreibeträge für Angehörige …</t>
  </si>
  <si>
    <t xml:space="preserve">   ldf. Nr. 1</t>
  </si>
  <si>
    <t xml:space="preserve">   Summe</t>
  </si>
  <si>
    <t>absehbare besondere Prozesskosten</t>
  </si>
  <si>
    <t>Bewilligungsinstanz</t>
  </si>
  <si>
    <t>erste Instanz</t>
  </si>
  <si>
    <t>Akte:</t>
  </si>
  <si>
    <t>Druckdatum:</t>
  </si>
  <si>
    <r>
      <t>Rechtsanwaltsvergütung</t>
    </r>
    <r>
      <rPr>
        <sz val="10"/>
        <rFont val="Arial"/>
        <family val="2"/>
      </rPr>
      <t xml:space="preserve"> gem. §§ 2, 13, Anlage 1 RVG</t>
    </r>
  </si>
  <si>
    <r>
      <t>1,0-Wertgebühr</t>
    </r>
    <r>
      <rPr>
        <sz val="10"/>
        <rFont val="Arial"/>
        <family val="2"/>
      </rPr>
      <t xml:space="preserve"> gem. § 13 RVG</t>
    </r>
  </si>
  <si>
    <t>Dr. Birger Dölling</t>
  </si>
  <si>
    <r>
      <t>Fristbeginn</t>
    </r>
    <r>
      <rPr>
        <sz val="10"/>
        <rFont val="Arial"/>
        <family val="2"/>
      </rPr>
      <t xml:space="preserve"> (§ 187 Abs. 1 BGB, ggf. § 222 ZPO) mit Tagesbeginn …</t>
    </r>
  </si>
  <si>
    <t>Erläuterungen s. unten, Druckansicht s. hinten</t>
  </si>
  <si>
    <t>§ 222 II</t>
  </si>
  <si>
    <t xml:space="preserve">   Bank-, Giro-, Sparkonten etc.</t>
  </si>
  <si>
    <t xml:space="preserve">   Kraftfahrzeuge</t>
  </si>
  <si>
    <t xml:space="preserve">   sonstige Vermögenswerte</t>
  </si>
  <si>
    <t>voraussichtliche Kosten der Prozessführung</t>
  </si>
  <si>
    <t>Bemerkungen, z. B. Begründung für Kürzungen</t>
  </si>
  <si>
    <r>
      <t xml:space="preserve">einzusetzendes Vermögen (oben </t>
    </r>
    <r>
      <rPr>
        <b/>
        <sz val="10"/>
        <rFont val="Arial"/>
        <family val="2"/>
      </rPr>
      <t>B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>)</t>
    </r>
  </si>
  <si>
    <t>Ergebnis</t>
  </si>
  <si>
    <r>
      <t xml:space="preserve">Der </t>
    </r>
    <r>
      <rPr>
        <b/>
        <sz val="10"/>
        <color indexed="50"/>
        <rFont val="Arial"/>
        <family val="2"/>
      </rPr>
      <t>Kostenquotenrechner</t>
    </r>
    <r>
      <rPr>
        <sz val="10"/>
        <rFont val="Arial"/>
        <family val="2"/>
      </rPr>
      <t xml:space="preserve"> berechnet auf Grundlage der Baumbachschen Formel die Kostenquoten für Urteile bei bis zu zwei Klägern, vier Beklagten und zwei</t>
    </r>
  </si>
  <si>
    <t>Drittwiderbeklagten. Von den Ergebnissen wird eine Druckansicht erstellt, die für die Ausgabe auf Schwarz-Weiß-Druckern optimiert ist.</t>
  </si>
  <si>
    <t>Ergebnis (± § 222 II)</t>
  </si>
  <si>
    <t>Zielmonat § 204 II</t>
  </si>
  <si>
    <t>Tage Zielm. § 204 II</t>
  </si>
  <si>
    <t>HT (± § 204 II)</t>
  </si>
  <si>
    <t>HE § 204 II</t>
  </si>
  <si>
    <t>Ablaufhemmung § 203 S. 2</t>
  </si>
  <si>
    <t>+Feiert. (± § 203 S. 2)</t>
  </si>
  <si>
    <t>mit Feiertagen nach Hemmung</t>
  </si>
  <si>
    <r>
      <t xml:space="preserve">Der </t>
    </r>
    <r>
      <rPr>
        <b/>
        <sz val="10"/>
        <color indexed="53"/>
        <rFont val="Arial"/>
        <family val="2"/>
      </rPr>
      <t>Zinsrechner</t>
    </r>
    <r>
      <rPr>
        <sz val="10"/>
        <rFont val="Arial"/>
        <family val="2"/>
      </rPr>
      <t xml:space="preserve"> berechnet aus einem Anfangsbetrag unter Berücksichtigung von bis zu drei Zinszeiträumen und Zinssätzen (nominal oder in Prozentpunkten</t>
    </r>
  </si>
  <si>
    <t>über dem jeweiligen Basiszinssatz) die Zinsen und den Endbetrag.</t>
  </si>
  <si>
    <t>Streit-/Gegenstandswert</t>
  </si>
  <si>
    <t>Streit-/Gegenstandswert lt. Prozesskostenrechner</t>
  </si>
  <si>
    <t>einzusetzendes Einkommen</t>
  </si>
  <si>
    <t>Wertstufe</t>
  </si>
  <si>
    <t>Streitwert, gedeckelt gem. § 39 Abs. 2 GKG</t>
  </si>
  <si>
    <t>Gegenstandshöchstwert gem. § 22 Abs. 2 Satz 1 RVG</t>
  </si>
  <si>
    <t>Streithöchstwert gem. § 39 Abs. 2 GKG</t>
  </si>
  <si>
    <t>Mindestgebühr gem. § 34 Abs. 2 GKG</t>
  </si>
  <si>
    <t>Mindestgebühr gem. § 13 Abs. 2 RVG</t>
  </si>
  <si>
    <t>Gebührensprünge</t>
  </si>
  <si>
    <t>Teilwertstufen</t>
  </si>
  <si>
    <t>Teilgebühren</t>
  </si>
  <si>
    <t>Streitwert, gedeckelt</t>
  </si>
  <si>
    <t>Gegenstandswert, gedeckelt</t>
  </si>
  <si>
    <t>Familienstand</t>
  </si>
  <si>
    <t>Berechnungen</t>
  </si>
  <si>
    <t>§ 115 Abs. 3 ZPO, § 90 SGB XII, §§ 811, 812 ZPO</t>
  </si>
  <si>
    <t>Grundbetrag</t>
  </si>
  <si>
    <t>Erhöhungsbetrag für überwiegend unterhaltene Personen</t>
  </si>
  <si>
    <t>Summe</t>
  </si>
  <si>
    <t>Gesetzesstand:</t>
  </si>
  <si>
    <t xml:space="preserve">   Nr. 2300 (Geschäftsgebühr, Schwellensatz gem. Anm.)</t>
  </si>
  <si>
    <t>Kostenquotenrechner</t>
  </si>
  <si>
    <t>gegen</t>
  </si>
  <si>
    <t>B1</t>
  </si>
  <si>
    <t>B2</t>
  </si>
  <si>
    <t>Antrag zu</t>
  </si>
  <si>
    <t>Σ</t>
  </si>
  <si>
    <t>Gesamtvolumen</t>
  </si>
  <si>
    <t>B3</t>
  </si>
  <si>
    <t>B4</t>
  </si>
  <si>
    <t>B1+B2</t>
  </si>
  <si>
    <t>B1+B3</t>
  </si>
  <si>
    <t>B1+B4</t>
  </si>
  <si>
    <t>B2+B3</t>
  </si>
  <si>
    <t>B2+B4</t>
  </si>
  <si>
    <t>B3+B4</t>
  </si>
  <si>
    <t>B1+B2+B3</t>
  </si>
  <si>
    <t>B1+B2+B4</t>
  </si>
  <si>
    <t>B1+B3+B4</t>
  </si>
  <si>
    <t>B2+B3+B4</t>
  </si>
  <si>
    <t>B1+B2+B3+B4</t>
  </si>
  <si>
    <t xml:space="preserve">   B1</t>
  </si>
  <si>
    <t xml:space="preserve">   B2</t>
  </si>
  <si>
    <t xml:space="preserve">   B3</t>
  </si>
  <si>
    <t xml:space="preserve">   B4</t>
  </si>
  <si>
    <t>Kostenlast</t>
  </si>
  <si>
    <t>Summe Gesamtvolumen</t>
  </si>
  <si>
    <t>Kostenquoten</t>
  </si>
  <si>
    <t xml:space="preserve">      Quote</t>
  </si>
  <si>
    <t>Klage</t>
  </si>
  <si>
    <t xml:space="preserve">      verbal</t>
  </si>
  <si>
    <t>als Gesamt-</t>
  </si>
  <si>
    <t>schuldner</t>
  </si>
  <si>
    <r>
      <t>Fristlänge</t>
    </r>
    <r>
      <rPr>
        <sz val="10"/>
        <rFont val="Arial"/>
        <family val="2"/>
      </rPr>
      <t>:</t>
    </r>
  </si>
  <si>
    <r>
      <t>Kalender</t>
    </r>
    <r>
      <rPr>
        <sz val="10"/>
        <rFont val="Arial"/>
        <family val="2"/>
      </rPr>
      <t xml:space="preserve"> 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</si>
  <si>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t>Fristlänge</t>
  </si>
  <si>
    <t>Wochentag</t>
  </si>
  <si>
    <t>Feiertage</t>
  </si>
  <si>
    <t>Feiertage gesamt</t>
  </si>
  <si>
    <t>verbal</t>
  </si>
  <si>
    <r>
      <t>Fristende</t>
    </r>
    <r>
      <rPr>
        <sz val="10"/>
        <rFont val="Arial"/>
        <family val="2"/>
      </rPr>
      <t xml:space="preserve"> mit Tagesende …</t>
    </r>
  </si>
  <si>
    <r>
      <t>außergerichtliche Kosten</t>
    </r>
    <r>
      <rPr>
        <sz val="10"/>
        <rFont val="Arial"/>
        <family val="2"/>
      </rPr>
      <t xml:space="preserve"> …</t>
    </r>
  </si>
  <si>
    <t>Bekl. zu 1)</t>
  </si>
  <si>
    <t>Bekl. zu 2)</t>
  </si>
  <si>
    <t>Bekl. zu 3)</t>
  </si>
  <si>
    <t>Bekl. zu 4)</t>
  </si>
  <si>
    <t>Checkboxen</t>
  </si>
  <si>
    <t xml:space="preserve">   absolute Verjährung in 10 Jahren gem. § 199 Abs. 3 Nr. 1, Abs. 4 BGB</t>
  </si>
  <si>
    <t xml:space="preserve">   absolute Verjährung in 30 Jahren gem. § 199 Abs. 2 und 3 Nr. 2, Abs. 3a BGB</t>
  </si>
  <si>
    <t>netto/brutto</t>
  </si>
  <si>
    <r>
      <t>einzelne Gebühren</t>
    </r>
    <r>
      <rPr>
        <sz val="10"/>
        <rFont val="Arial"/>
        <family val="2"/>
      </rPr>
      <t xml:space="preserve"> gem. VV-RVG</t>
    </r>
  </si>
  <si>
    <t>Gesetzesstand</t>
  </si>
  <si>
    <r>
      <t>Sonstige materielle Fristen</t>
    </r>
    <r>
      <rPr>
        <sz val="10"/>
        <rFont val="Arial"/>
        <family val="2"/>
      </rPr>
      <t xml:space="preserve"> (Berechnung gem. §§ 187 Abs. 1, 188, ggf. 193 BGB)</t>
    </r>
  </si>
  <si>
    <r>
      <t>Fristende</t>
    </r>
    <r>
      <rPr>
        <sz val="10"/>
        <rFont val="Arial"/>
        <family val="2"/>
      </rPr>
      <t xml:space="preserve"> (ohne § 193 BGB, § 222 Abs. 2 ZPO) mit Tagesende …</t>
    </r>
  </si>
  <si>
    <t>s. unten</t>
  </si>
  <si>
    <t>Gegenstandswert, gedeckelt gem. § 22 Abs. 2 Satz 1 RVG</t>
  </si>
  <si>
    <t xml:space="preserve">   Nr. 1008 (Erhöhungsgebühr), gedeckelt gem. Anm. 3</t>
  </si>
  <si>
    <t xml:space="preserve">   Nr. 7002 (Post- und Telekommunikationspauschale)</t>
  </si>
  <si>
    <r>
      <t>Gesamtkostenrisiko</t>
    </r>
    <r>
      <rPr>
        <sz val="10"/>
        <rFont val="Arial"/>
        <family val="2"/>
      </rPr>
      <t xml:space="preserve"> bei Verfahrensbeendigung …</t>
    </r>
  </si>
  <si>
    <t>Angaben zu den persönlichen und wirtschaftlichen Verhältnissen</t>
  </si>
  <si>
    <t>Geburtsdatum</t>
  </si>
  <si>
    <t>einzusetzendes Vermögen</t>
  </si>
  <si>
    <t xml:space="preserve">   Eintragungshilfe: Schonvermögen</t>
  </si>
  <si>
    <t>sonstige Angaben</t>
  </si>
  <si>
    <t xml:space="preserve"> sowie      Klickboxen ermöglichen individuelle Eingaben.</t>
  </si>
  <si>
    <t>Weiße Felder mit grüner Schrift</t>
  </si>
  <si>
    <t>Mindestgebühr</t>
  </si>
  <si>
    <r>
      <t>Gerichtskosten</t>
    </r>
    <r>
      <rPr>
        <sz val="10"/>
        <rFont val="Arial"/>
        <family val="2"/>
      </rPr>
      <t xml:space="preserve">, Wertgebühren gem. § 34 GKG (gesetzliche Vorgaben und 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</si>
  <si>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Grunddaten</t>
    </r>
    <r>
      <rPr>
        <sz val="10"/>
        <rFont val="Arial"/>
        <family val="2"/>
      </rPr>
      <t xml:space="preserve"> 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</si>
  <si>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Zinsen</t>
    </r>
    <r>
      <rPr>
        <sz val="10"/>
        <rFont val="Arial"/>
        <family val="2"/>
      </rPr>
      <t xml:space="preserve"> </t>
    </r>
    <r>
      <rPr>
        <sz val="10"/>
        <rFont val="Arial"/>
        <family val="2"/>
      </rPr>
      <t>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</si>
  <si>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Prozessuale Fristen</t>
    </r>
    <r>
      <rPr>
        <sz val="10"/>
        <rFont val="Arial"/>
        <family val="2"/>
      </rPr>
      <t xml:space="preserve"> 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</si>
  <si>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Feiertage</t>
    </r>
    <r>
      <rPr>
        <sz val="10"/>
        <rFont val="Arial"/>
        <family val="2"/>
      </rPr>
      <t xml:space="preserve"> (gesetzliche Vorgaben; fest, </t>
    </r>
    <r>
      <rPr>
        <sz val="10"/>
        <color indexed="12"/>
        <rFont val="Arial"/>
        <family val="2"/>
      </rPr>
      <t>beweglich</t>
    </r>
    <r>
      <rPr>
        <sz val="10"/>
        <rFont val="Arial"/>
        <family val="2"/>
      </rPr>
      <t>)</t>
    </r>
  </si>
  <si>
    <t>... . .../..</t>
  </si>
  <si>
    <t>einzusetzendes Einkommen:</t>
  </si>
  <si>
    <r>
      <t>Wertstufe:</t>
    </r>
    <r>
      <rPr>
        <sz val="10"/>
        <rFont val="Arial"/>
        <family val="2"/>
      </rPr>
      <t xml:space="preserve"> s. oben </t>
    </r>
    <r>
      <rPr>
        <b/>
        <sz val="10"/>
        <color indexed="10"/>
        <rFont val="Arial"/>
        <family val="2"/>
      </rPr>
      <t>II</t>
    </r>
    <r>
      <rPr>
        <sz val="10"/>
        <rFont val="Arial"/>
        <family val="2"/>
      </rPr>
      <t>.</t>
    </r>
  </si>
  <si>
    <t>bühren nebst Post- und Telekommunikationspauschale für die Prozessbevollmächtigten beider Seiten, und zwar für die Fälle, dass beide Parteien, nur eine Par-</t>
  </si>
  <si>
    <t>tei oder keine Partei vorsteuerabzugsberechtigt ist.</t>
  </si>
  <si>
    <t>– Klageanträge müssen einen Wert haben und von mindestens einem Kläger gegen mindestens einen Beklagten gerichtet sein.</t>
  </si>
  <si>
    <t>– Ein Obsiegen kann nur gegen solche Beklagte erfasst werden, gegen die sich der Klageantrag richtet. Das Obsiegen gegen jeden einzelnen Beklagten darf den</t>
  </si>
  <si>
    <t>– Entsprechendes gilt für (Dritt-)Widerklageanträge.</t>
  </si>
  <si>
    <t xml:space="preserve">   lfd. Nr. 5</t>
  </si>
  <si>
    <t xml:space="preserve">   Kindergeld/Kinderzuschlag</t>
  </si>
  <si>
    <t xml:space="preserve">   Rente/Pension</t>
  </si>
  <si>
    <t xml:space="preserve">   Arbeitslosengeld</t>
  </si>
  <si>
    <t xml:space="preserve">   Steuern/Solidaritätszuschlag</t>
  </si>
  <si>
    <r>
      <t>–</t>
    </r>
    <r>
      <rPr>
        <sz val="10"/>
        <rFont val="Arial"/>
        <family val="2"/>
      </rPr>
      <t xml:space="preserve"> Wert des Klageantrages nicht übersteigen. Wird derselbe Beklagte als Einzelschuldner und als Gesamtschuldner verurteilt, so darf das Obsiegen gegen ihn in der</t>
    </r>
  </si>
  <si>
    <r>
      <t>–</t>
    </r>
    <r>
      <rPr>
        <sz val="10"/>
        <rFont val="Arial"/>
        <family val="2"/>
      </rPr>
      <t xml:space="preserve"> Summe den Wert des Klageantrages nicht übersteigen.</t>
    </r>
  </si>
  <si>
    <t>– Ein Obsiegen gegen Beklagte als Gesamtschuldner kann nur gegen mindestens zwei Beklagte, gegen die sich der Klageantrag richtet, erfasst werden. Das Ob-</t>
  </si>
  <si>
    <r>
      <t>–</t>
    </r>
    <r>
      <rPr>
        <sz val="10"/>
        <rFont val="Arial"/>
        <family val="2"/>
      </rPr>
      <t xml:space="preserve"> siegen darf den Wert des Klageantrages nicht übersteigen. Etwaige Einzelverurteilungen der als Gesamtschuldner verurteilten Beklagten werden dabei für jeden</t>
    </r>
  </si>
  <si>
    <r>
      <t>–</t>
    </r>
    <r>
      <rPr>
        <sz val="10"/>
        <rFont val="Arial"/>
        <family val="2"/>
      </rPr>
      <t xml:space="preserve"> Beklagten einzeln hinzugerechnet.</t>
    </r>
  </si>
  <si>
    <r>
      <t>Wert:</t>
    </r>
    <r>
      <rPr>
        <sz val="10"/>
        <rFont val="Arial"/>
        <family val="2"/>
      </rPr>
      <t xml:space="preserve"> Der für die Kostenentscheidung maßgebliche Wert stimmt oftmals nicht mit dem Streit-/Gegenstandswert überein. So sind etwa Widerklageforderungen unter</t>
    </r>
  </si>
  <si>
    <r>
      <t>Kostenquoten:</t>
    </r>
    <r>
      <rPr>
        <sz val="10"/>
        <rFont val="Arial"/>
        <family val="2"/>
      </rPr>
      <t xml:space="preserve"> Der Kostenquotenrechner bildet die Kostenquoten stets unter Berücksichtigung von § 100 Abs. 2 und 4 ZPO und der Baumbachschen Formel.</t>
    </r>
  </si>
  <si>
    <t>Zwar gebietet § 100 Abs. 1 ZPO seinem Wortlaut nach bei einer nur unerheblich verschiedenen Beteiligung der Streitgenossen am Rechtsstreit eine Verteilung</t>
  </si>
  <si>
    <t>nach Kopfteilen. Es erscheint jedoch vertrebar, auch in diesen Fällen die Kosten gemäß § 100 Abs. 2 ZPO im Verhältnis der wertmäßigen Beteiligung zu verteilen.</t>
  </si>
  <si>
    <t>Die Parteien werden hierdurch nicht benachteiligt, denn § 100 Abs. 1 ZPO weicht vom Grundsatz der Kostengerechtigkeit, der in § 100 Abs. 2 ZPO zum Ausdruck</t>
  </si>
  <si>
    <t>Bei gleicher Beteiligung der als Gesamtschuldner unterliegenden Beklagten gebietet § 100 Abs. 4 ZPO seinem Wortlaut nach eine gesamtschuldnerische Verurtei-</t>
  </si>
  <si>
    <t>lung in die Kosten insgesamt, das heißt auch wegen der außergerichtlichen Kosten der Beklagten. Nach der Baumbachschen Formel, der der Kostenquotenrech-</t>
  </si>
  <si>
    <t>ner auch hier folgt, sind jedoch die außergerichtlichen Kosten der Beklagten diesen jeweils selbst aufzuerlegen, da zwischen ihnen kein Prozessrechtsverhältnis</t>
  </si>
  <si>
    <t>besteht.</t>
  </si>
  <si>
    <t>Die Baumbachsche Formel wird in der Praxis uneinheitlich gehandhabt. Die Anwendung durch den Kostenquotenrechner beruht auf den Darstellungen von Anders/</t>
  </si>
  <si>
    <t>Die Kostenquoten werden auf eine Dezimalstelle gerundet ausgegeben. In der Praxis ist eine Rundung auf volle Prozentzahlen üblich. Diese und die Verteilung ei-</t>
  </si>
  <si>
    <t>nes etwaigen Rundungsfehlers, die der Kostenquotenrechner nicht vorwegnehmen kann, sind ggf. eigenverantwortlich vorzunehmen.</t>
  </si>
  <si>
    <r>
      <t>Grundlagen der Kostenquotenberechnung:</t>
    </r>
    <r>
      <rPr>
        <sz val="10"/>
        <rFont val="Arial"/>
        <family val="2"/>
      </rPr>
      <t xml:space="preserve"> Der Kostenquotenrechner stellt lediglich eine Berechnungshilfe zur Verfügung, entbindet aber nicht von der eigenverant-</t>
    </r>
  </si>
  <si>
    <t>wortlichen Kostenentscheidung. Um die Überprüfung der ausgegebenen Quoten und eine Kontrolle auf Eingabefehler zu ermöglichen, werden die Grundlagen der</t>
  </si>
  <si>
    <r>
      <t>Zinsatz und Bezugsgröße:</t>
    </r>
    <r>
      <rPr>
        <sz val="10"/>
        <rFont val="Arial"/>
        <family val="2"/>
      </rPr>
      <t xml:space="preserve"> Der Zinsrechner erlaubt die freie Wahl des Zinssatzes und der Bezugsgröße (nominal oder Prozentpunkte über Basiszinssatz).</t>
    </r>
  </si>
  <si>
    <t>Welcher Zinssatz im Einzelfall Anwendung finden muss, ist der jeweiligen gesetzlichen Regelung zu entnehmen. Die Tabelle der gebräuchlichen Zinssätze</t>
  </si>
  <si>
    <r>
      <t>Zinstage:</t>
    </r>
    <r>
      <rPr>
        <sz val="10"/>
        <rFont val="Arial"/>
        <family val="2"/>
      </rPr>
      <t xml:space="preserve"> Der erste und der letzte Tag des angegebenen Zinszeitraums werden mitgerechnet. Dies bedeutet z. B. für Verzugszinsen, dass als Beginn des</t>
    </r>
  </si>
  <si>
    <t>Die Zinsen werden auf vier Nachkommastellen gerundet ausgegeben, aber intern ungerundet berechnet.</t>
  </si>
  <si>
    <t>5 Prozentpunkte über Basiszinssatz</t>
  </si>
  <si>
    <t>8 Prozentpunkte über Basiszinssatz</t>
  </si>
  <si>
    <r>
      <t>(</t>
    </r>
    <r>
      <rPr>
        <b/>
        <sz val="10"/>
        <color indexed="10"/>
        <rFont val="Arial"/>
        <family val="2"/>
      </rPr>
      <t>III</t>
    </r>
    <r>
      <rPr>
        <sz val="10"/>
        <rFont val="Arial"/>
        <family val="2"/>
      </rPr>
      <t>) gibt hierfür Anhaltspunkte. Besonders sollte beachtet werden, dass der Basiszinssatz seit dem 01.01.1999 festgestellt, vom BGB aber erst seit dem</t>
    </r>
  </si>
  <si>
    <t>01.05.2000 in Bezug genommen wird.</t>
  </si>
  <si>
    <r>
      <t>Rückwärtsfristen:</t>
    </r>
    <r>
      <rPr>
        <sz val="10"/>
        <rFont val="Arial"/>
        <family val="2"/>
      </rPr>
      <t xml:space="preserve"> Rückwärtsfristen rechnen z. B. im Falle der Ladungsfrist, § 217 ZPO, vom Tag des Termins zum Tag der Zustellung zurück. Dabei werden</t>
    </r>
  </si>
  <si>
    <t>Rückwärtsfristen (z. B. Ladungs- und Einlassungsfrist) sind fest vorgegeben. Daneben ist die freie Eingabe von Jahres-, Monats-, Wochen- und Tagesfristen sowie</t>
  </si>
  <si>
    <t>von Hemmungszeiträumen für Verjährungsfristen möglich. Wochenenden und Feiertage werden je nach angegebenem Bundesland berücksichtigt.</t>
  </si>
  <si>
    <t>Basiszinssatz heute:</t>
  </si>
  <si>
    <t>§§ 353 Satz 1, 352 Abs. 1 Satz 1 HGB</t>
  </si>
  <si>
    <t>s. oben, mindestens 5 %</t>
  </si>
  <si>
    <t>Literatur</t>
  </si>
  <si>
    <t xml:space="preserve">   Nr. 1610 (Verfahrensgebühr, selbständiges Beweisverfahren)</t>
  </si>
  <si>
    <r>
      <t>Eintragungshilfe: Schonvermögen:</t>
    </r>
    <r>
      <rPr>
        <sz val="10"/>
        <rFont val="Arial"/>
        <family val="2"/>
      </rPr>
      <t xml:space="preserve"> Der nach der BarbetrV berechnete Betrag gibt einen Anhaltspunkt dafür, welches Barvermögen dem Antragsteller zu belassen ist. </t>
    </r>
  </si>
  <si>
    <t xml:space="preserve">   anwendbar</t>
  </si>
  <si>
    <t>PKHB 2010</t>
  </si>
  <si>
    <t>PKHB 2011</t>
  </si>
  <si>
    <t>PKHB 2012</t>
  </si>
  <si>
    <t>2. PKHB 2012</t>
  </si>
  <si>
    <r>
      <t>Besondere Belastungen:</t>
    </r>
    <r>
      <rPr>
        <sz val="10"/>
        <rFont val="Arial"/>
        <family val="2"/>
      </rPr>
      <t xml:space="preserve"> Die Festsetzung von künftigen, höheren Monatsraten bei absehbarem völligem oder teilweisem Entfall besonderer Belastungen innerhalb von</t>
    </r>
  </si>
  <si>
    <t>vier Jahren gem. § 120 Abs. 1 Satz 2 ZPO ist, ggf. unter Eingabe entsprechend angepasster Daten, eigenverantwortlich zu prüfen.</t>
  </si>
  <si>
    <r>
      <t>sonstige Angaben</t>
    </r>
    <r>
      <rPr>
        <sz val="10"/>
        <rFont val="Arial"/>
        <family val="2"/>
      </rPr>
      <t/>
    </r>
  </si>
  <si>
    <r>
      <t>Verfügbares Einkommen:</t>
    </r>
    <r>
      <rPr>
        <sz val="10"/>
        <rFont val="Arial"/>
        <family val="2"/>
      </rPr>
      <t xml:space="preserve"> Das Gesetz kennt nur den Begriff des einzusetzenden Einkommens, § 115 Abs. 2 ZPO, das naturgemäß nicht negativ sein kann. Um eine</t>
    </r>
  </si>
  <si>
    <t>Bekl. als Gs.</t>
  </si>
  <si>
    <t>Kläger als Gs.</t>
  </si>
  <si>
    <t>Dwbkl. als Gs.</t>
  </si>
  <si>
    <t>Kl./D. als Gs.</t>
  </si>
  <si>
    <r>
      <t>Grundlagen der Kostenquotenberechnung</t>
    </r>
    <r>
      <rPr>
        <sz val="10"/>
        <rFont val="Arial"/>
        <family val="2"/>
      </rPr>
      <t/>
    </r>
  </si>
  <si>
    <t>§ 203 S. 2</t>
  </si>
  <si>
    <t>Tage Zielmonat</t>
  </si>
  <si>
    <t>HE+3 Monate</t>
  </si>
  <si>
    <t>kontakt@zivilprozessrechner.de</t>
  </si>
  <si>
    <r>
      <t>freie Eingabe für Verjährungsfristen</t>
    </r>
    <r>
      <rPr>
        <sz val="10"/>
        <rFont val="Arial"/>
        <family val="2"/>
      </rPr>
      <t xml:space="preserve"> von …</t>
    </r>
  </si>
  <si>
    <t>Tage</t>
  </si>
  <si>
    <r>
      <t>Fristen</t>
    </r>
    <r>
      <rPr>
        <sz val="10"/>
        <rFont val="Arial"/>
        <family val="2"/>
      </rPr>
      <t xml:space="preserve"> von …</t>
    </r>
  </si>
  <si>
    <r>
      <t xml:space="preserve">   </t>
    </r>
    <r>
      <rPr>
        <sz val="10"/>
        <rFont val="Arial"/>
        <family val="2"/>
      </rPr>
      <t>Verzug mit Entgeltforderungen gem. § 286 Abs. 3 BGB</t>
    </r>
  </si>
  <si>
    <t>§ 193</t>
  </si>
  <si>
    <r>
      <t>Verjährungsfristen</t>
    </r>
    <r>
      <rPr>
        <sz val="10"/>
        <rFont val="Arial"/>
        <family val="2"/>
      </rPr>
      <t xml:space="preserve"> 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</si>
  <si>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Andere mat. Fristen</t>
    </r>
    <r>
      <rPr>
        <sz val="10"/>
        <rFont val="Arial"/>
        <family val="2"/>
      </rPr>
      <t xml:space="preserve"> 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</si>
  <si>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t>Ergebnis § 193 +/–</t>
  </si>
  <si>
    <t>ja</t>
  </si>
  <si>
    <r>
      <t>Fristende</t>
    </r>
    <r>
      <rPr>
        <sz val="10"/>
        <rFont val="Arial"/>
        <family val="2"/>
      </rPr>
      <t xml:space="preserve"> mit Ablauf …</t>
    </r>
  </si>
  <si>
    <r>
      <t>Fristbeginn</t>
    </r>
    <r>
      <rPr>
        <sz val="10"/>
        <rFont val="Arial"/>
        <family val="2"/>
      </rPr>
      <t xml:space="preserve"> am …</t>
    </r>
  </si>
  <si>
    <r>
      <t>Summanden</t>
    </r>
    <r>
      <rPr>
        <sz val="10"/>
        <rFont val="Arial"/>
        <family val="2"/>
      </rPr>
      <t xml:space="preserve"> (gesetzliche Vorgaben und 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</si>
  <si>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t>vorwärts</t>
  </si>
  <si>
    <t>rückwärts</t>
  </si>
  <si>
    <t>a</t>
  </si>
  <si>
    <t>e</t>
  </si>
  <si>
    <t>bestimmt</t>
  </si>
  <si>
    <t>Wert</t>
  </si>
  <si>
    <t>(Dritt-)Widerklage</t>
  </si>
  <si>
    <r>
      <t>Obsiegen</t>
    </r>
    <r>
      <rPr>
        <sz val="10"/>
        <rFont val="Arial"/>
        <family val="2"/>
      </rPr>
      <t xml:space="preserve"> (gesetzliche Vorgaben und 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</si>
  <si>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Kostenquoten</t>
    </r>
    <r>
      <rPr>
        <sz val="10"/>
        <rFont val="Arial"/>
        <family val="2"/>
      </rPr>
      <t xml:space="preserve"> (gesetzliche Vorgaben und 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</si>
  <si>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t xml:space="preserve">   Gericht</t>
  </si>
  <si>
    <t>(Dritt-)Widerklage des B1</t>
  </si>
  <si>
    <t>Obsiegen des B1 gegen</t>
  </si>
  <si>
    <t>(Dritt-)Widerklage des B2</t>
  </si>
  <si>
    <t>(Dritt-)Widerklage des B4</t>
  </si>
  <si>
    <t>Obsiegen des B2 gegen</t>
  </si>
  <si>
    <t>Obsiegen des B3 gegen</t>
  </si>
  <si>
    <t>Obsiegen des B4 gegen</t>
  </si>
  <si>
    <t>(Dritt-)Widerklage des B3</t>
  </si>
  <si>
    <t xml:space="preserve">   Gericht/B1</t>
  </si>
  <si>
    <t xml:space="preserve">   Gericht/B2</t>
  </si>
  <si>
    <t xml:space="preserve">   Gericht/B3</t>
  </si>
  <si>
    <t xml:space="preserve">   Gericht/B4</t>
  </si>
  <si>
    <r>
      <t>Kostenlast</t>
    </r>
    <r>
      <rPr>
        <sz val="10"/>
        <rFont val="Arial"/>
        <family val="2"/>
      </rPr>
      <t xml:space="preserve"> (gesetzliche Vorgaben und 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</si>
  <si>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t>Entscheidung</t>
  </si>
  <si>
    <t>des</t>
  </si>
  <si>
    <t>K1</t>
  </si>
  <si>
    <t>K2</t>
  </si>
  <si>
    <t>Eingabe neu bekanntgegebener Basiszinssätze:</t>
  </si>
  <si>
    <t>– Einfügen einer neuen Zeile vor der Zeile mit e</t>
  </si>
  <si>
    <t>– Übertragen der Daten aus der Zeile mit e in die neu eingefügte Zeile davor</t>
  </si>
  <si>
    <t>Nutzungsbedingungen</t>
  </si>
  <si>
    <t>Die jeweils aktuelle Version des Zivilprozessrechners steht als xlsx-Datei auf www.zivilprozessrechner.de zum Download zur Verfügung. Der Zivilprozessrechner wird</t>
  </si>
  <si>
    <t>sofern dort ein Hinweis auf die Urheberschaft aufgenommen wird. Zur Erleichterung der Bedienung und zur Vermeidung von Fehleingaben sind die Tabellenblätter</t>
  </si>
  <si>
    <t>geschützt und einzelne Blätter und Spalten ausgeblendet. Diese Schutzmaßnahmen dürfen zum Zweck der Bearbeitung aufgehoben werden.</t>
  </si>
  <si>
    <t>Der Zivilprozessrechner wird entwickelt von Dr. Birger Dölling (kontakt@zivilprozessrechner.de). Einige Formeln für die Berechnung beweglicher Feiertage wurden</t>
  </si>
  <si>
    <t>Der Zivilprozessrechner darf frei kopiert und weitergegeben werden. Der Zivilprozessrechner darf auch bearbeitet werden, sofern diese Nutzungsbedingungen</t>
  </si>
  <si>
    <t>erhalten bleiben und ein Hinweis auf Datum, Art und Urheber der Bearbeitung aufgenommen wird. Die Formeln dürfen in andere Anwendungen übernommen werden,</t>
  </si>
  <si>
    <t>Wertstufe gem. § 13 Abs. 1 RVG bis …</t>
  </si>
  <si>
    <t>Da das amtliche Formular eine Angabe für die vom Antragsteller "überwiegend unterhaltenen" Personen nicht vorsieht, wird vereinfachend auf die angegebenen</t>
  </si>
  <si>
    <r>
      <t>Zinsen:</t>
    </r>
    <r>
      <rPr>
        <sz val="10"/>
        <rFont val="Arial"/>
        <family val="2"/>
      </rPr>
      <t xml:space="preserve"> Die Berechnungsmethode für die Zinsen (30/360, act/360, act/365, act/act) ist nicht gesetzlich vorgegeben. In der Praxis sind, je nach Staat und</t>
    </r>
  </si>
  <si>
    <t>weiterer Fall ist der Beginn der Verjährungsfrist mit Beginn des 01.01.2002 im Zusammenhang mit dem Schuldrechtsmodernisierungsgesetz gem. Art. 229</t>
  </si>
  <si>
    <t>– Die Sonderregelungen gemäß § 203 Satz 2 BGB und § 204 Abs. 2 BGB dürfen nicht gleichzeitig angewählt werden.</t>
  </si>
  <si>
    <r>
      <t>Einigungs- und Erhöhungsgebühr, Pauschale:</t>
    </r>
    <r>
      <rPr>
        <sz val="10"/>
        <rFont val="Arial"/>
        <family val="2"/>
      </rPr>
      <t xml:space="preserve"> Die Einigungsgebühr, die Erhöhungsgebühr und die Post- und Telekommunikationspauschale gem. Nr. 1000 ff.,</t>
    </r>
  </si>
  <si>
    <t>tenrechner von nur einer Angelegenheit aus. Gesamtgebühren für mehrere Angelegenheiten (z. B. vorgerichtliches, Mahn- und streitiges Verfahren mit einzelnen</t>
  </si>
  <si>
    <t>Rechtszügen) müssen eigenverantwortlich unter Berücksichtigung der Anrechnungsregelungen aufsummiert werden.</t>
  </si>
  <si>
    <t xml:space="preserve">   Nr. 1000 (Einigungsgebühr, vorgerichtlich)</t>
  </si>
  <si>
    <t xml:space="preserve">   Nr. 1003 (Einigungsgebühr, erster Rechtszug)</t>
  </si>
  <si>
    <t xml:space="preserve">   Nr. 1004 (Einigungsgebühr, Berufung oder Revision)</t>
  </si>
  <si>
    <r>
      <t>Gesamtkostenrisiko:</t>
    </r>
    <r>
      <rPr>
        <sz val="10"/>
        <rFont val="Arial"/>
        <family val="2"/>
      </rPr>
      <t xml:space="preserve"> Das errechnete Gesamtkostenrisiko umfasst die ggf. reduzierten Gerichtsgebühren sowie die Verfahrens-, Termins- und ggf. Einigungsge-</t>
    </r>
  </si>
  <si>
    <r>
      <t>Wertgebühren:</t>
    </r>
    <r>
      <rPr>
        <sz val="10"/>
        <rFont val="Arial"/>
        <family val="2"/>
      </rPr>
      <t xml:space="preserve"> Die Mindestbetragsregelung gem. § 34 Abs. 2 GKG wendet der Prozesskostenrechner auf jede Gebühr einzeln an.</t>
    </r>
  </si>
  <si>
    <t xml:space="preserve">   Nr. 1222 (Verfahrensgebühr bei Verf.beend. nach Berufungsbegr.)</t>
  </si>
  <si>
    <t>Rot gefärbte Felder</t>
  </si>
  <si>
    <t>kein Eingabefehler</t>
  </si>
  <si>
    <t>heute</t>
  </si>
  <si>
    <t>Auswahllisten</t>
  </si>
  <si>
    <t>zweite Instanz</t>
  </si>
  <si>
    <t>ja, in voller Höhe</t>
  </si>
  <si>
    <t>ja, in Höhe von</t>
  </si>
  <si>
    <r>
      <t>Geburtsdatum:</t>
    </r>
    <r>
      <rPr>
        <sz val="10"/>
        <rFont val="Arial"/>
        <family val="2"/>
      </rPr>
      <t xml:space="preserve"> Bei anderen unterhaltsberechtigten Angehörigen als Ehegatten/Lebenspartnern richtet sich der Unterhaltsfreibetrag nach dem Alter. Werden im amt-</t>
    </r>
  </si>
  <si>
    <t xml:space="preserve"> kennzeichnen fehlerhafte oder fehlende Eingaben. Wenn keine oder nicht alle Berechnungsergebnisse angezeigt werden, sind die</t>
  </si>
  <si>
    <r>
      <t xml:space="preserve">5 Jahre nach dem aktuellen Jahr. Liegt die errechnete Frist außerhalb dieses Bereichs, wird die Nichtberücksichtigung von Feiertagen durch </t>
    </r>
    <r>
      <rPr>
        <sz val="10"/>
        <color indexed="12"/>
        <rFont val="Arial"/>
        <family val="2"/>
      </rPr>
      <t>blaue Fär-</t>
    </r>
  </si>
  <si>
    <r>
      <t>bung</t>
    </r>
    <r>
      <rPr>
        <sz val="10"/>
        <rFont val="Arial"/>
        <family val="2"/>
      </rPr>
      <t xml:space="preserve"> des Fristendes kenntlich gemacht. Sonnabende und Sonntage werden ohne diese Einschränkung immer berücksichtigt.</t>
    </r>
  </si>
  <si>
    <r>
      <t>Basiszinssatz:</t>
    </r>
    <r>
      <rPr>
        <sz val="10"/>
        <rFont val="Arial"/>
        <family val="2"/>
      </rPr>
      <t xml:space="preserve"> Der heute geltende Basiszinssatz wird angezeigt. Liegt das heutige Datum außerhalb des Geltungszeitraums der bekannt gegebenen Basis-</t>
    </r>
  </si>
  <si>
    <r>
      <t xml:space="preserve">zinssätze, wird das Feld </t>
    </r>
    <r>
      <rPr>
        <sz val="10"/>
        <color rgb="FF0000FF"/>
        <rFont val="Arial"/>
        <family val="2"/>
      </rPr>
      <t>blau gefärbt</t>
    </r>
    <r>
      <rPr>
        <sz val="10"/>
        <rFont val="Arial"/>
        <family val="2"/>
      </rPr>
      <t>. In diesem Fall sollten die Datumseinstellungen des Betriebssystems überprüft und eine aktuelle Version des Zivilpro-</t>
    </r>
  </si>
  <si>
    <t>zessrechners installiert werden.</t>
  </si>
  <si>
    <t>im Zeitraum</t>
  </si>
  <si>
    <t>(Basiszinssatz)</t>
  </si>
  <si>
    <t>(Feiertage)</t>
  </si>
  <si>
    <t>Eingabeprüfung</t>
  </si>
  <si>
    <t>VI</t>
  </si>
  <si>
    <t>Berechnungsergebnisse werden nur angezeigt, wenn die eingegebenen Daten die folgenden Bedingungen erfüllen:</t>
  </si>
  <si>
    <r>
      <t xml:space="preserve">Eingaben, die die genannten Bedingungen nicht erfüllen, werden durch </t>
    </r>
    <r>
      <rPr>
        <sz val="10"/>
        <color rgb="FFFF0000"/>
        <rFont val="Arial"/>
        <family val="2"/>
      </rPr>
      <t>rote Färbung</t>
    </r>
    <r>
      <rPr>
        <sz val="10"/>
        <rFont val="Arial"/>
        <family val="2"/>
      </rPr>
      <t xml:space="preserve"> der Eingabefelder gekennzeichnet.</t>
    </r>
  </si>
  <si>
    <r>
      <t>Eingaben:</t>
    </r>
    <r>
      <rPr>
        <sz val="10"/>
        <rFont val="Arial"/>
        <family val="2"/>
      </rPr>
      <t xml:space="preserve"> Berechnungsergebnisse werden nur angezeigt, wenn die eingegebenen Daten die folgenden Bedingungen erfüllen:</t>
    </r>
  </si>
  <si>
    <t>Eingaben in diesen Feldern zu überprüfen und zu korrigieren.</t>
  </si>
  <si>
    <r>
      <t>Wertgebühren:</t>
    </r>
    <r>
      <rPr>
        <sz val="10"/>
        <rFont val="Arial"/>
        <family val="2"/>
      </rPr>
      <t xml:space="preserve"> Die Mindestbetragsregelung gem. § 13 Abs. 2 RVG wendet der Prozesskostenrechner auf jede Gebühr einzeln an. Ausgenommen ist nur die</t>
    </r>
  </si>
  <si>
    <r>
      <t>Gegenstandswert, gedeckelt:</t>
    </r>
    <r>
      <rPr>
        <sz val="10"/>
        <rFont val="Arial"/>
        <family val="2"/>
      </rPr>
      <t xml:space="preserve"> Die abweichende Deckelung bei mehreren Auftraggebern gem. § 22 Abs. 2 Satz 2 RVG wird vom Prozesskostenrechner wegen</t>
    </r>
  </si>
  <si>
    <t>ihrer geringen praktischen Bedeutung nicht berücksichtigt.</t>
  </si>
  <si>
    <r>
      <t>Art und Höhe:</t>
    </r>
    <r>
      <rPr>
        <sz val="10"/>
        <rFont val="Arial"/>
        <family val="2"/>
      </rPr>
      <t xml:space="preserve"> Wird Naturalunterhalt gewährt, so ist "natural" einzugeben oder (hiermit gleichbedeutend) das Feld freizulassen. In diesem Fall wird der gesamte Frei-</t>
    </r>
  </si>
  <si>
    <r>
      <t>Sonstige Zahlungsverpflichtungen:</t>
    </r>
    <r>
      <rPr>
        <sz val="10"/>
        <rFont val="Arial"/>
        <family val="2"/>
      </rPr>
      <t xml:space="preserve"> Das Gesetz kennt diesen im amtlichen Formular enthaltenen Begriff nicht. Sonstige Zahlungsverpflichtungen können als besondere</t>
    </r>
  </si>
  <si>
    <t>Belastungen gem. § 115 Abs. 2 Satz 3 Nr. 5 ZPO einkommensmindernd zu berücksichtigen sein.</t>
  </si>
  <si>
    <t>Erhöhungsgebühr gem. Nr. 1008 VV-RVG. Ob die Mindestbetragsregelung auch schon auf die zu erhöhende Gebühr anzuwenden ist, wenn diese unter dem</t>
  </si>
  <si>
    <t>1008, 7002 VV-RVG können für jede Angelegenheit gem. §§ 16 ff. RVG gesondert verlangt werden. Um die Tabelle übersichtlich zu halten, geht der Prozesskos-</t>
  </si>
  <si>
    <t>Mindestbetrag liegt, ist umstritten (Mayer/Kroiß/Kroiß: RVG, § 13, Rdnr. 33). Wegen der geringen praktischen Bedeutung behandelt der Prozesskostenrechner</t>
  </si>
  <si>
    <t>diesen Fall nicht besonders, sondern wendet die Mindestbetragsregelung unterschiedslos an.</t>
  </si>
  <si>
    <t>Wirtschaftszweig, alle Methoden üblich. Sie können, abhängig von der Länge der vom Zinszeitraum umfassten Monate und von etwaigen Schalttagen, zu</t>
  </si>
  <si>
    <t>unterschiedlichen Ergebnissen führen. Der Zinsrechner berechnet die Zinsen taggenau (act/act). Der Zinszeitraum wird hierfür auf die einzelnen Jahre</t>
  </si>
  <si>
    <t>aufgeteilt und der Tageszinssatz jeweils durch Division des Jahreszinssatzes durch 365 (Nichtschaltjahre) bzw. 366 (Schaltjahre) ermittelt. Diese Berech-</t>
  </si>
  <si>
    <t>nungsmethode führt zu den genauesten Ergebnissen.</t>
  </si>
  <si>
    <r>
      <t xml:space="preserve">Für </t>
    </r>
    <r>
      <rPr>
        <b/>
        <sz val="10"/>
        <rFont val="Arial"/>
        <family val="2"/>
      </rPr>
      <t>Fristbeginn</t>
    </r>
    <r>
      <rPr>
        <sz val="10"/>
        <rFont val="Arial"/>
        <family val="2"/>
      </rPr>
      <t xml:space="preserve"> (bei Rückwärtsfristen: </t>
    </r>
    <r>
      <rPr>
        <b/>
        <sz val="10"/>
        <rFont val="Arial"/>
        <family val="2"/>
      </rPr>
      <t>Fristende</t>
    </r>
    <r>
      <rPr>
        <sz val="10"/>
        <rFont val="Arial"/>
        <family val="2"/>
      </rPr>
      <t xml:space="preserve">) maßgebliches </t>
    </r>
    <r>
      <rPr>
        <b/>
        <sz val="10"/>
        <rFont val="Arial"/>
        <family val="2"/>
      </rPr>
      <t>Ereignis</t>
    </r>
    <r>
      <rPr>
        <sz val="10"/>
        <rFont val="Arial"/>
        <family val="2"/>
      </rPr>
      <t xml:space="preserve"> im Tagesverlauf …</t>
    </r>
  </si>
  <si>
    <t>Wertstufe gem. § 34 Abs. 1 GKG bis …</t>
  </si>
  <si>
    <t>§ 288 BGB, §§ 353 S. 1, 352 Abs. 1 S. 1 HGB</t>
  </si>
  <si>
    <r>
      <t>Verzugszinsen für beiderseitige Handelsgeschäfte:</t>
    </r>
    <r>
      <rPr>
        <sz val="10"/>
        <rFont val="Arial"/>
        <family val="2"/>
      </rPr>
      <t xml:space="preserve"> Sie betragen auch bei negativem Basiszinssatz mindestens 5 % (OLG München ZIP 2014, 1067, 1073).</t>
    </r>
  </si>
  <si>
    <t>PKHB 2015</t>
  </si>
  <si>
    <t>kein Rechenfehler</t>
  </si>
  <si>
    <t>-Punkte über Basiszinssatz</t>
  </si>
  <si>
    <t xml:space="preserve">   pauschale Berechnung (Gerichts-/eigene Anwaltskosten)</t>
  </si>
  <si>
    <r>
      <rPr>
        <sz val="10"/>
        <color rgb="FFFF0000"/>
        <rFont val="Arial"/>
        <family val="2"/>
      </rPr>
      <t>Pauschale Berechnung:</t>
    </r>
    <r>
      <rPr>
        <sz val="10"/>
        <rFont val="Arial"/>
        <family val="2"/>
      </rPr>
      <t xml:space="preserve"> Ist die Klickbox aktiviert, so werden die Gerichtskosten und die eigenen Anwaltskosten einschl. Mehrwertsteuer berücksichtigt, je nach ange-</t>
    </r>
  </si>
  <si>
    <r>
      <t>Absehbare besondere Prozesskosten:</t>
    </r>
    <r>
      <rPr>
        <sz val="10"/>
        <rFont val="Arial"/>
        <family val="2"/>
      </rPr>
      <t xml:space="preserve"> Solche Kosten, insbesondere Auslagen für Zeugen und Sachverständige, können ggf. in diesem Eingabefeld erfasst werden.</t>
    </r>
  </si>
  <si>
    <t>Mehrbedarfe (monatlich)</t>
  </si>
  <si>
    <t>Wohnkosten: Unterkunft und Heizung (monatlich)</t>
  </si>
  <si>
    <t>eigener Haushalt</t>
  </si>
  <si>
    <t>Bedarfsgemeinschaft</t>
  </si>
  <si>
    <t>kein eigener Haushalt</t>
  </si>
  <si>
    <t>Unterhaltsansprüche gegenüber Angehörigen</t>
  </si>
  <si>
    <t>Gewährung von Unterhalt an Angehörige</t>
  </si>
  <si>
    <t>Kostenübernahme durch Dritte; wenn ja, Höhe</t>
  </si>
  <si>
    <t>Erwerbstätigkeit</t>
  </si>
  <si>
    <t>Freibetrag</t>
  </si>
  <si>
    <t>eig. Nettoeink.</t>
  </si>
  <si>
    <t>tats. geleistet</t>
  </si>
  <si>
    <r>
      <t>Wohnkosten: Unterkunft und Heizung:</t>
    </r>
    <r>
      <rPr>
        <sz val="10"/>
        <rFont val="Arial"/>
        <family val="2"/>
      </rPr>
      <t xml:space="preserve"> Wohnen im Haushalt des Antragstellers weitere Personen mit eigenen Einkünften, so sind die Wohnkosten aufzuteilen, sofern</t>
    </r>
  </si>
  <si>
    <t>nicht die anderen Personen so wenig verdienen, dass der Antragsteller durch die Gewährung freier Wohnung zu ihrem Unterhalt beiträgt (im Einzelnen str., vgl. Zöl-</t>
  </si>
  <si>
    <t>für MAX-Prüfung bei Angabe "" oder "natural"</t>
  </si>
  <si>
    <t>Freibetrag gekürzt gem. § 115 Abs. 1 Satz 7 ZPO, höchstens Geldrente</t>
  </si>
  <si>
    <t>ggf. gekürzt</t>
  </si>
  <si>
    <t>Stufe</t>
  </si>
  <si>
    <t>Stufe: Hilfsformel für § 30 Abs. 3 SGB XII (s. unten)</t>
  </si>
  <si>
    <t>PKH-VKH-Rechner</t>
  </si>
  <si>
    <r>
      <t xml:space="preserve">Der </t>
    </r>
    <r>
      <rPr>
        <b/>
        <sz val="10"/>
        <color indexed="61"/>
        <rFont val="Arial"/>
        <family val="2"/>
      </rPr>
      <t>PKH-VKH-Rechner</t>
    </r>
    <r>
      <rPr>
        <sz val="10"/>
        <rFont val="Arial"/>
        <family val="2"/>
      </rPr>
      <t xml:space="preserve"> berechnet unter Zugrundelegung der Erklärung über die persönlichen und wirtschaftlichen Verhältnisse und der absehbaren Prozess-</t>
    </r>
  </si>
  <si>
    <t>Bewilligung von Prozesskostenhilfe/Verfahrenskostenhilfe?</t>
  </si>
  <si>
    <r>
      <t>Familienstand:</t>
    </r>
    <r>
      <rPr>
        <sz val="10"/>
        <rFont val="Arial"/>
        <family val="2"/>
      </rPr>
      <t xml:space="preserve"> Die Angabe im amtlichen Formular wird vom PKH-VKH-Rechner nicht ausgwertet. Ist der Antragsteller verheiratet/verpartnert, so ist unbedingt die</t>
    </r>
  </si>
  <si>
    <r>
      <t xml:space="preserve">Unterhaltspflicht für den Ehegatten/Lebenspartner zu berücksichten (s. unten </t>
    </r>
    <r>
      <rPr>
        <b/>
        <sz val="10"/>
        <color indexed="10"/>
        <rFont val="Arial"/>
        <family val="2"/>
      </rPr>
      <t>D</t>
    </r>
    <r>
      <rPr>
        <sz val="10"/>
        <rFont val="Arial"/>
        <family val="2"/>
      </rPr>
      <t>).</t>
    </r>
  </si>
  <si>
    <r>
      <t>Unterhaltsansprüche gegenüber Angehörigen:</t>
    </r>
    <r>
      <rPr>
        <sz val="10"/>
        <rFont val="Arial"/>
        <family val="2"/>
      </rPr>
      <t xml:space="preserve"> Die Angaben im amtlichen Formular werden vom PKH-VKH-Rechner nicht ausgewertet. Ist der Antragsteller unterhalts-</t>
    </r>
  </si>
  <si>
    <t>berechtigt, so ist stets zu prüfen, ob ein Anspruch auf Prozesskostenvorschuss besteht. Ein solcher ist, wenn seine Geltendmachung zumutbar ist, als einzusetzen-</t>
  </si>
  <si>
    <t>rücksichtigt Geldzahlungen bis zur Höhe des jeweiligen Freibetrages. Darüber hinausgehende Beträge können bis zur Grenze der Angemessenheit als besondere</t>
  </si>
  <si>
    <r>
      <t xml:space="preserve">Belastungen unter </t>
    </r>
    <r>
      <rPr>
        <b/>
        <sz val="10"/>
        <color rgb="FFFF0000"/>
        <rFont val="Arial"/>
        <family val="2"/>
      </rPr>
      <t>J</t>
    </r>
    <r>
      <rPr>
        <sz val="10"/>
        <rFont val="Arial"/>
        <family val="2"/>
      </rPr>
      <t xml:space="preserve"> zu berücksichtigen sein (vgl. zum Ganzen Groß: BerH/PKH/VKH, § 115 ZPO, Rdnr. 48, 50, 62, 67).</t>
    </r>
  </si>
  <si>
    <r>
      <t>Vermögen des Ehegatten/Lebenspartners:</t>
    </r>
    <r>
      <rPr>
        <sz val="10"/>
        <rFont val="Arial"/>
        <family val="2"/>
      </rPr>
      <t xml:space="preserve"> Die Angaben im Formular werden vom PKH-VKH-Rechner nicht ausgewertet. Sie können für die Frage eines Prozess-</t>
    </r>
  </si>
  <si>
    <r>
      <t xml:space="preserve">kostenvorschusses von Bedeutung sein (s. oben </t>
    </r>
    <r>
      <rPr>
        <b/>
        <sz val="10"/>
        <color indexed="10"/>
        <rFont val="Arial"/>
        <family val="2"/>
      </rPr>
      <t>C</t>
    </r>
    <r>
      <rPr>
        <sz val="10"/>
        <rFont val="Arial"/>
        <family val="2"/>
      </rPr>
      <t>).</t>
    </r>
  </si>
  <si>
    <t>Der PKH-VKH-Rechner berücksichtigt nur die Angaben zum tatsächlich gezahlten Betrag. Die übrigen Angaben im amtlichen Formular, insbesondere auch zur Zim-</t>
  </si>
  <si>
    <t>mer- und Bewohnerzahl, dienen lediglich der Plausibilitätsprüfung. Ob sich aus ihnen auch etwas für ein auffälliges Missverhältnis i. S. v. § 115 Abs. 1 Satz 3 Nr. 3</t>
  </si>
  <si>
    <t>ZPO ableiten lässt, erscheint zweifelhaft.</t>
  </si>
  <si>
    <r>
      <t>Voraussichtliche Kosten der Prozessführung:</t>
    </r>
    <r>
      <rPr>
        <sz val="10"/>
        <rFont val="Arial"/>
        <family val="2"/>
      </rPr>
      <t xml:space="preserve"> Diese übernimmt der PKH-VKH-Rechner aus dem Prozesskostenrechner. Wird das Feld </t>
    </r>
    <r>
      <rPr>
        <sz val="10"/>
        <color rgb="FFFF0000"/>
        <rFont val="Arial"/>
        <family val="2"/>
      </rPr>
      <t>rot gefärbt</t>
    </r>
    <r>
      <rPr>
        <sz val="10"/>
        <rFont val="Arial"/>
        <family val="2"/>
      </rPr>
      <t xml:space="preserve"> dargestellt, so sind</t>
    </r>
  </si>
  <si>
    <t>im Prozesskostenrechner die Eingaben zum Streit-/Gegenstandswert, zum Umsatzsteuersatz und zum Gesetzesstand zu überprüfen und zu korrigieren. Bei fehler-</t>
  </si>
  <si>
    <t>haften Eingaben in diesen Feldern werden keine Berechnungsergebnisse angezeigt.</t>
  </si>
  <si>
    <t>Einschätzung zu ermöglichen, wie weit eine Partei, die nicht über einzusetzendes Einkommen verfügt, hiervon entfernt ist, gibt der PKH-VKH-Rechner auch die tat-</t>
  </si>
  <si>
    <t>sächliche Differenz zwischen Einkommen und Abzügen/Freibeträgen als verfügbares Einkommen aus.</t>
  </si>
  <si>
    <r>
      <t>Monatsraten/Vermögensbeträge:</t>
    </r>
    <r>
      <rPr>
        <sz val="10"/>
        <rFont val="Arial"/>
        <family val="2"/>
      </rPr>
      <t xml:space="preserve"> Um das Vorliegen der Voraussetzungen von § 115 Abs. 4 ZPO nachvollziehbar zu machen, gibt der PKH-VKH-Rechner die Höhe</t>
    </r>
  </si>
  <si>
    <t>nicht aktuell</t>
  </si>
  <si>
    <r>
      <t xml:space="preserve">der Monatsraten und der Vermögensbeträge in </t>
    </r>
    <r>
      <rPr>
        <sz val="10"/>
        <color indexed="55"/>
        <rFont val="Arial"/>
        <family val="2"/>
      </rPr>
      <t>grauer Darstellung</t>
    </r>
    <r>
      <rPr>
        <sz val="10"/>
        <rFont val="Arial"/>
        <family val="2"/>
      </rPr>
      <t xml:space="preserve"> auch dann aus, wenn Prozesskostenhilfe/Verfahrenskostenhilfe nicht zu bewilligen ist.</t>
    </r>
  </si>
  <si>
    <t>Rechtsgrundlagen, ggf. i. V. m. §§ 76, 113 FamFG</t>
  </si>
  <si>
    <t>sind, Vermögen nur insoweit, als es einzusetzen ist. Zur Orientierung sind die maßgeblichen Rechtsvorschriften aufgeführt. Auf häufig vorkommende rechtliche Fra-</t>
  </si>
  <si>
    <r>
      <t>Ehegatte/Lebenspartner:</t>
    </r>
    <r>
      <rPr>
        <sz val="10"/>
        <rFont val="Arial"/>
        <family val="2"/>
      </rPr>
      <t xml:space="preserve"> Ist der Antragsteller verheiratet/verpartnert, so ist hier die Unterhaltspflicht gegenüber dem Ehegatten/Lebenspartner zu erfassen. Diese An-</t>
    </r>
  </si>
  <si>
    <t>gabe wird vom Antragsteller oftmals vergessen. Für nicht getrennt lebende Eheleute/Lebenspartner wird als Art der Unterhaltsleistung in der Regel "natural" einzuge-</t>
  </si>
  <si>
    <r>
      <t xml:space="preserve">ben oder (hiermit gleichbedeutend) das Feld freizulassen sein, sonst die Höhe des tatsächlich gezahlten Geldbetrages (s. unten </t>
    </r>
    <r>
      <rPr>
        <sz val="10"/>
        <color indexed="10"/>
        <rFont val="Arial"/>
        <family val="2"/>
      </rPr>
      <t>Art und Höhe</t>
    </r>
    <r>
      <rPr>
        <sz val="10"/>
        <rFont val="Arial"/>
        <family val="2"/>
      </rPr>
      <t>). Bei Unterhaltsleistung</t>
    </r>
  </si>
  <si>
    <t>gegebener Bewilligungsinstanz für die erste oder für beide Instanzen. Dieser pauschale Ansatz führt meist zu zutreffenden Ergebnissen. Jedoch kommt die Berück-</t>
  </si>
  <si>
    <t>sichtigung der Anwaltskosten nur in Betracht, wenn eine Anwaltsbeiordnung gem. § 121 Abs. 1, 2 ZPO geboten ist. Die Berücksichtigung nicht vorschussbewehrter</t>
  </si>
  <si>
    <t>ist, muss im Eingabefeld das Datum des Vortages angegeben werden. Für praktische Anwendungsfälle vgl. MünchKomm-BGB/Grothe, § 187, Rdnr. 6. Ein</t>
  </si>
  <si>
    <t>PKHB 2016</t>
  </si>
  <si>
    <t>Gerichtskosten sowie der Kosten der Vorinstanz ist umstritten (vgl. Dölling NJW 2016, 207). Für eine individuelle Eingabe kann die Klickbox deaktiviert werden; es</t>
  </si>
  <si>
    <t>werden dann nur die Kosten berücksichtigt, die im Prozesskostenrechner einzeln angewählt worden sind.</t>
  </si>
  <si>
    <t>Reformationstag 2017</t>
  </si>
  <si>
    <r>
      <t xml:space="preserve">Der </t>
    </r>
    <r>
      <rPr>
        <b/>
        <sz val="10"/>
        <color indexed="17"/>
        <rFont val="Arial"/>
        <family val="2"/>
      </rPr>
      <t>Prozesskostenrechner</t>
    </r>
    <r>
      <rPr>
        <sz val="10"/>
        <rFont val="Arial"/>
        <family val="2"/>
      </rPr>
      <t xml:space="preserve"> berechnet bei einem gegebenen Streit-/Gegenstandswert die Gerichts- und Rechtsanwaltskosten. Häufig vorkommende Gebühren-</t>
    </r>
  </si>
  <si>
    <t>tatbestände sind fest vorgegeben. Daneben ist die freie Eingabe von Gebührensätzen möglich. Schließlich wird das Gesamtprozesskostenrisiko bei Erledigung</t>
  </si>
  <si>
    <t>des Rechtsstreits in der ersten oder zweiten Instanz mit oder ohne Vergleich ermittelt. Von den Ergebnissen wird eine Druckansicht erstellt, die für die Ausgabe</t>
  </si>
  <si>
    <t>auf Schwarz-Weiß-Druckern optimiert ist.</t>
  </si>
  <si>
    <t>kosten, ob einer Partei wegen Bedürftigkeit Prozesskostenhilfe/Verfahrenskostenhilfe zu gewähren ist und welche Zahlungen ggf. festzusetzen sind. Von den</t>
  </si>
  <si>
    <t>Ergebnissen wird eine Druckansicht erstellt, die für die Ausgabe auf Schwarz-Weiß-Druckern optimiert ist.</t>
  </si>
  <si>
    <r>
      <t>Gesetzesstand:</t>
    </r>
    <r>
      <rPr>
        <sz val="10"/>
        <rFont val="Arial"/>
        <family val="2"/>
      </rPr>
      <t xml:space="preserve"> Der PKH-VKH-Rechner ermöglicht die Berechnung für Altfälle auch nach der bis zum Inkrafttreten des Gesetzes zur Änderung des Prozesskosten-</t>
    </r>
  </si>
  <si>
    <t>Der PKH-VKH-Rechner geht davon aus, dass der Unterhaltsfreibetrag für Kinder jedem Elternteil in voller Höhe zur Verfügung steht (umstr., vgl. Musielak/Voit/</t>
  </si>
  <si>
    <t>Gehle: Assessorexamen, Rdnr. A.199 ff., und von Stegemann-Bohl JuS 1991, 320.</t>
  </si>
  <si>
    <t>Quotenbildung mitgeteilt. Zum Begriff des Gesamtvolumens vgl. Stegemann-Bohl JuS 1991, 320.</t>
  </si>
  <si>
    <t>§ 222, Rdnr. 4; Druckenbrodt NJW 2013, 2390).</t>
  </si>
  <si>
    <t>PKHB 2017</t>
  </si>
  <si>
    <t>§ 90 Abs. 2 Nr. 9 SGB XII, § 1 Satz 1 BarbetrV</t>
  </si>
  <si>
    <t>– Beginn und Ende des Hemmungszeitraums dürfen nicht vor dem Beginn der Verjährungsfrist liegen (vgl. BGH MDR 2017, 761, Tz. 12).</t>
  </si>
  <si>
    <t>PKHB 2018</t>
  </si>
  <si>
    <t>Berechnungsstichtag für Freibeträge etc.</t>
  </si>
  <si>
    <t>behandelt diesen Fall nicht besonders, legt also z. B. bei Verzinsung mit 5 Prozentpunkten über dem Basiszinssatz ab dem 01.01.2015 einen Zinssatz von</t>
  </si>
  <si>
    <t>2. PKHB 2019</t>
  </si>
  <si>
    <t>Weltkindertag</t>
  </si>
  <si>
    <r>
      <t xml:space="preserve">Unterhaltsberechtigten (s. oben </t>
    </r>
    <r>
      <rPr>
        <b/>
        <sz val="10"/>
        <color rgb="FFFF0000"/>
        <rFont val="Arial"/>
        <family val="2"/>
      </rPr>
      <t>D</t>
    </r>
    <r>
      <rPr>
        <sz val="10"/>
        <rFont val="Arial"/>
        <family val="2"/>
      </rPr>
      <t>) abgestellt. Dabei wird auch für den Ehegatten/Lebenspartner nur ein Betrag von 500,00 EUR nach § 1 Satz 1 Nr. 2 BarBetrV und</t>
    </r>
  </si>
  <si>
    <t>Groß: BerH/PKH/VKH, 14. Aufl. 2018</t>
  </si>
  <si>
    <t>4,17 %, ab dem 01.07.2016 von 4,12 % zugrunde (vgl. MünchKomm-BGB/Ernst, § 288, Rdnr. 4 m. w. Nachw.).</t>
  </si>
  <si>
    <t>(MünchKomm-BGB/Grothe, § 209, Rdnr. 4 m. w. Nachw.). Der Fristenrechner verlängert die berechnete Frist um die Anzahl der Hemmungstage und wen-</t>
  </si>
  <si>
    <t>det erst im Anschluss § 193 BGB an. Lediglich dann, wenn der Beginn des Hemmungszeitraums überhaupt nur wegen § 193 BGB noch in die Verjährungs-</t>
  </si>
  <si>
    <t>frist fällt, wird die bereits gem. § 193 BGB verlängerte Frist um die Zahl der Hemmungstage ab dem Tag des Fristendes verlängert und sodann ggf. noch</t>
  </si>
  <si>
    <t>einmal § 193 BGB angewandt.</t>
  </si>
  <si>
    <t>diese beiden Tage nicht mitgerechnet, da dem Betroffenen die volle Frist nach Tagen bzw. Wochen zur Verfügung stehen muss (vgl. Zöller/Feskorn: ZPO,</t>
  </si>
  <si>
    <r>
      <rPr>
        <sz val="10"/>
        <color rgb="FFFF0000"/>
        <rFont val="Arial"/>
        <family val="2"/>
      </rPr>
      <t>Umsatzsteuersatz für anwaltliche Leistungen:</t>
    </r>
    <r>
      <rPr>
        <sz val="10"/>
        <rFont val="Arial"/>
      </rPr>
      <t xml:space="preserve"> Er beträgt gem. §§ 28 Abs. 1, 13 Abs. 1 Nr. 1a UStG für Leistungen, die zwischen dem 01.07. und dem</t>
    </r>
  </si>
  <si>
    <t>31.12.2020 ausgeführt werden, 16 % statt 19 %. Die anwaltliche Leistung ist ausgeführt, wenn die Fälligkeitsvoraussetzungen nach § 8 Nr. 1 RVG vorliegen,</t>
  </si>
  <si>
    <t>also bei Erledigung des Auftrags oder Beendigung der Angelegenheit, im gerichtlichen Verfahren bei Beendigung des Rechtszugs (näher AnwBl Online 2020,</t>
  </si>
  <si>
    <t>434).</t>
  </si>
  <si>
    <t>PKHB 2020</t>
  </si>
  <si>
    <r>
      <t xml:space="preserve">des Vermögen unter </t>
    </r>
    <r>
      <rPr>
        <b/>
        <sz val="10"/>
        <color rgb="FFFF0000"/>
        <rFont val="Arial"/>
        <family val="2"/>
      </rPr>
      <t>G</t>
    </r>
    <r>
      <rPr>
        <sz val="10"/>
        <rFont val="Arial"/>
        <family val="2"/>
      </rPr>
      <t xml:space="preserve"> zu berücksichtigen (vgl. näher Zöller/Schultzky: ZPO, § 115, Rdnr. 59 ff.).</t>
    </r>
  </si>
  <si>
    <t>weil es schon bei der Bemessung des Geldunterhalts berücksichtigt wird (Zöller/Schultzky: ZPO, § 115, Rdnr. 34).</t>
  </si>
  <si>
    <t>ler/Schultzky: ZPO, § 115, Rdnr. 40; Musielak/Voit/Fischer: ZPO, § 115, Rdnr. 23).</t>
  </si>
  <si>
    <r>
      <t>Basiszinssatz:</t>
    </r>
    <r>
      <rPr>
        <sz val="10"/>
        <rFont val="Arial"/>
        <family val="2"/>
      </rPr>
      <t xml:space="preserve"> Der Zinsrechner berücksichtigt den Basiszinssatz seit seiner Einführung am 01.01.1999. Für Zinszeiträume vor dem 01.01.1999 wird ein</t>
    </r>
  </si>
  <si>
    <t>Basiszinssatz von 0,00 % unterstellt, für Zinszeiträume nach der Geltungsdauer des aktuellen Basiszinssatzes dieser. Diese Annahmen sind rein rechne-</t>
  </si>
  <si>
    <r>
      <t xml:space="preserve">rischer Natur und haben keine Grundlage im Gesetz, weshalb ihre Anwendung durch </t>
    </r>
    <r>
      <rPr>
        <sz val="10"/>
        <color indexed="12"/>
        <rFont val="Arial"/>
        <family val="2"/>
      </rPr>
      <t>blaue Färbung</t>
    </r>
    <r>
      <rPr>
        <sz val="10"/>
        <rFont val="Arial"/>
        <family val="2"/>
      </rPr>
      <t xml:space="preserve"> von Zinsen und Endbetrag kenntlich gemacht wird.</t>
    </r>
  </si>
  <si>
    <r>
      <t>Basiszinssatz</t>
    </r>
    <r>
      <rPr>
        <sz val="10"/>
        <rFont val="Arial"/>
        <family val="2"/>
      </rPr>
      <t xml:space="preserve"> gem. § 247 BGB (gesetzliche Vorgaben)</t>
    </r>
  </si>
  <si>
    <t>übernommen von Walter Fricke, Jens Fleckenstein, Boris Georgi und Gerhard Ehmann (ehemals www.excelformeln.de).</t>
  </si>
  <si>
    <t>für die Nutzung mit Microsoft Excel 2007 oder höher entwickelt. Eine Nutzung mit Microsoft Excel 2000 oder 2003 und mit freien Office-Alternativen wie LibreOffice</t>
  </si>
  <si>
    <t>Calc oder OpenOffice Calc ist unter Umständen möglich, wird jedoch nicht offiziell unterstützt.</t>
  </si>
  <si>
    <t>bis 31.12.2020</t>
  </si>
  <si>
    <t>Wohnort</t>
  </si>
  <si>
    <t>Landkreis Fürstenfeldbruck</t>
  </si>
  <si>
    <t>Landeshauptstadt München</t>
  </si>
  <si>
    <t>übriges Bundesgebiet</t>
  </si>
  <si>
    <t>Landkreis Starnberg</t>
  </si>
  <si>
    <t>Landkreis München</t>
  </si>
  <si>
    <t>PKHB 2021</t>
  </si>
  <si>
    <t>§ 115 Abs. 1 Satz 3 Nr. 1 b), Satz 7 ZPO</t>
  </si>
  <si>
    <t>§ 115 Abs. 1 Satz 3 Nr. 2 a), Satz 7 ZPO</t>
  </si>
  <si>
    <t>§ 115 Abs. 1 Satz 3 Nr. 2 b), Satz 7 ZPO</t>
  </si>
  <si>
    <r>
      <t>Freibeträge</t>
    </r>
    <r>
      <rPr>
        <sz val="10"/>
        <rFont val="Arial"/>
        <family val="2"/>
      </rPr>
      <t xml:space="preserve"> gem. PKHB </t>
    </r>
    <r>
      <rPr>
        <sz val="10"/>
        <color indexed="12"/>
        <rFont val="Arial"/>
        <family val="2"/>
      </rPr>
      <t>in Abhängigkeit vom Gesetzesstand und Wohnort</t>
    </r>
    <r>
      <rPr>
        <sz val="10"/>
        <rFont val="Arial"/>
        <family val="2"/>
      </rPr>
      <t xml:space="preserve"> (gesetzliche Vorgaben)</t>
    </r>
  </si>
  <si>
    <r>
      <t>Freibeträge</t>
    </r>
    <r>
      <rPr>
        <sz val="10"/>
        <rFont val="Arial"/>
        <family val="2"/>
      </rPr>
      <t xml:space="preserve"> gem. PKHB </t>
    </r>
    <r>
      <rPr>
        <sz val="10"/>
        <color indexed="12"/>
        <rFont val="Arial"/>
        <family val="2"/>
      </rPr>
      <t>in Abhängigkeit vom Gesetzesstand und Wohnort</t>
    </r>
    <r>
      <rPr>
        <sz val="10"/>
        <rFont val="Arial"/>
        <family val="2"/>
      </rPr>
      <t xml:space="preserve"> (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</si>
  <si>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r>
      <t>Wohnort</t>
    </r>
    <r>
      <rPr>
        <sz val="10"/>
        <rFont val="Arial"/>
        <family val="2"/>
      </rPr>
      <t xml:space="preserve"> (PKHB)</t>
    </r>
  </si>
  <si>
    <t>hilfe- und Beratungshilferechts am 01.01.2014 geltenden Rechtslage. Für die Bewilligungsentscheidung ist gem. § 40 EGZPO die Rechtslage bei Antragstellung in</t>
  </si>
  <si>
    <t>der jeweiligen Instanz maßgeblich. Wird als Gesetzesstand "heute" angegeben, so geht der PKH-VKH-Rechner vom heutigen Datum aus.</t>
  </si>
  <si>
    <r>
      <t>Berechnungsstichtag:</t>
    </r>
    <r>
      <rPr>
        <sz val="10"/>
        <rFont val="Arial"/>
        <family val="2"/>
      </rPr>
      <t xml:space="preserve"> Für die Höhe der Freibeträge gem. PKHB und für die Berechnung des Alters der Unterhaltsberechtigen (Zöller/Schultzky: ZPO, § 115,</t>
    </r>
  </si>
  <si>
    <t>Rdnr. 36) ist das Datum der Bewilligungsentscheidung maßgeblich, § 115 Abs. 1 Satz 4 ZPO. Wird als Datum "heute" angegeben, so geht der PKH-VKH-Rechner</t>
  </si>
  <si>
    <t>vom heutigen Datum aus. Liegt das heutige Datum außerhalb des Gültigkeitsbereichs der aktuellen Fassung der PKHB, wird das Datumsfeld rot gefärbt. In diesem</t>
  </si>
  <si>
    <t>Fall sollten die Datumseinstellungen des Betriebssystems überprüft werden. Da für Entscheidungen gem. § 120a Abs. 1 ZPO auch früher gültige Freibeträge anzu-</t>
  </si>
  <si>
    <t>wenden sein können, erlaubt der PKH-VKH-Rechner die Eingabe von Daten bis zurück zum 01.01.2011 und setzt dann die jeweils gültigen Beträge an.</t>
  </si>
  <si>
    <t>durch Geldzahlung soll eigenes Einkommen des Ehegatten/Lebenspartners entgegen § 115 Abs. 1 Satz 8 ZPO nicht freibetragsmindernd zu berücksichtigen sein,</t>
  </si>
  <si>
    <t>betrag angesetzt. Wird Unterhalt ausschließlich durch Geldzahlung gewährt, § 115 Abs. 1 Satz 9 ZPO, so ist deren Höhe einzugeben. Der PKH-VKH-Rechner be-</t>
  </si>
  <si>
    <t>Einkünfte des Ehegatten/Lebenspartners ermittelt der PKH-VKH-Rechner aufgrund der in den späteren Feldern erfolgenden Eingaben; diese Felder sind daher frei-</t>
  </si>
  <si>
    <r>
      <t>Eigene Nettoeinkünfte:</t>
    </r>
    <r>
      <rPr>
        <sz val="10"/>
        <rFont val="Arial"/>
        <family val="2"/>
      </rPr>
      <t xml:space="preserve"> Sie mindern den Freibetrag, § 115 Abs. 1 Satz 8 ZPO. Der PKH-VKH-Rechner gibt zur Orientierung den verminderten Freibetrag aus. Die</t>
    </r>
  </si>
  <si>
    <r>
      <t xml:space="preserve">zulassen, wenn der Unterhalt durch Geldzahlung gewährt wird und nach der oben (s. </t>
    </r>
    <r>
      <rPr>
        <sz val="10"/>
        <color rgb="FFFF0000"/>
        <rFont val="Arial"/>
        <family val="2"/>
      </rPr>
      <t>Ehegatte/Lebenspartner</t>
    </r>
    <r>
      <rPr>
        <sz val="10"/>
        <rFont val="Arial"/>
        <family val="2"/>
      </rPr>
      <t>) wiedergegebenen Ansicht eigenes Einkommen des</t>
    </r>
  </si>
  <si>
    <t>ordnungsgeber geht jedoch, wie sich aus dem amtlichen Hinweisblatt zum Formular ergibt, offenbar auch weiterhin davon aus, dass derartige Zahlungsverpflichtun-</t>
  </si>
  <si>
    <t>gen ebenso wie solche des Antragstellers von den Einkünften abzuziehen sein können.</t>
  </si>
  <si>
    <r>
      <t xml:space="preserve">mular gemäß PKHFV in den Abschnitten </t>
    </r>
    <r>
      <rPr>
        <b/>
        <sz val="10"/>
        <color rgb="FFFF0000"/>
        <rFont val="Arial"/>
        <family val="2"/>
      </rPr>
      <t>H</t>
    </r>
    <r>
      <rPr>
        <sz val="10"/>
        <rFont val="Arial"/>
        <family val="2"/>
      </rPr>
      <t xml:space="preserve">, </t>
    </r>
    <r>
      <rPr>
        <b/>
        <sz val="10"/>
        <color rgb="FFFF0000"/>
        <rFont val="Arial"/>
        <family val="2"/>
      </rPr>
      <t>I</t>
    </r>
    <r>
      <rPr>
        <sz val="10"/>
        <rFont val="Arial"/>
        <family val="2"/>
      </rPr>
      <t xml:space="preserve"> und </t>
    </r>
    <r>
      <rPr>
        <b/>
        <sz val="10"/>
        <color rgb="FFFF0000"/>
        <rFont val="Arial"/>
        <family val="2"/>
      </rPr>
      <t>J</t>
    </r>
    <r>
      <rPr>
        <sz val="10"/>
        <rFont val="Arial"/>
        <family val="2"/>
      </rPr>
      <t xml:space="preserve"> keine explizite Möglichkeit mehr, Zahlungsverpflichtungen des Ehegatten/Lebenspartners einzutragen. Der Ver-</t>
    </r>
  </si>
  <si>
    <t>Ob die Neuregelung überhaupt und darüber hinaus auch im Fall, dass der Antragsteller keine Leistungen bezieht, auf vor dem 01.01.2014 gestellte Anträge angewen-</t>
  </si>
  <si>
    <r>
      <t xml:space="preserve">det werden soll, ist eigenverantwortlich zu beurteilen. Zur Orientierung werden, wenn der unter </t>
    </r>
    <r>
      <rPr>
        <b/>
        <sz val="10"/>
        <color rgb="FFFF0000"/>
        <rFont val="Arial"/>
        <family val="2"/>
      </rPr>
      <t>I</t>
    </r>
    <r>
      <rPr>
        <sz val="10"/>
        <rFont val="Arial"/>
        <family val="2"/>
      </rPr>
      <t xml:space="preserve"> angegebene Gesetzesstand vor dem Gültigkeitszeitraum von § 115</t>
    </r>
  </si>
  <si>
    <r>
      <t xml:space="preserve">Abs. 1 Satz 3 Nr. 4 n. F. ZPO liegt, die Rechtsgrundlagen </t>
    </r>
    <r>
      <rPr>
        <sz val="10"/>
        <color rgb="FF969696"/>
        <rFont val="Arial"/>
        <family val="2"/>
      </rPr>
      <t>grau gefärbt</t>
    </r>
    <r>
      <rPr>
        <sz val="10"/>
        <rFont val="Arial"/>
        <family val="2"/>
      </rPr>
      <t xml:space="preserve"> dargestellt.</t>
    </r>
  </si>
  <si>
    <t>Der PKH-VKH-Rechner nimmt keine Berechnung der Mehrbedarfe vor. Bezieht der Antragsteller Leistungen nach SGB II oder SGB XII, sind die anerkannten Mehr-</t>
  </si>
  <si>
    <t>bedarfe aus dem Leistungsbescheid zu entnehmen, sonst ist eigenverantwortlich zu prüfen, ob geltend gemachte Mehrbedarfe nach § 21 SGB II oder § 30 SGB XII</t>
  </si>
  <si>
    <t>anzuerkennen sind. Dabei ist zu berücksichtigen, dass die Regelungen, entgegen der gesetzgeberischen Intention, eine Reihe von Unterschieden aufweisen</t>
  </si>
  <si>
    <t>räumten Möglichkeit Gebrauch gemacht haben, die Regelsätze, aus denen zum Teil auch die Mehrbedarfe abgeleitet werden, abweichend zu bestimmen. Die pau-</t>
  </si>
  <si>
    <t>schale Verweisung in § 115 Abs. 1 Satz 3 Nr. 4 ZPO bietet keine Anhaltspunkte dafür, ob § 21 SGB II oder § 30 SGB XII vorrangig anzuwenden ist. Die Formulie-</t>
  </si>
  <si>
    <t>rung im amtlichen Hinweisblatt zum Formular spricht dafür, jeweils die dem Antragsteller günstigere Regelung anzuwenden.</t>
  </si>
  <si>
    <r>
      <t xml:space="preserve">– Abzüge (oben </t>
    </r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H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I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J</t>
    </r>
    <r>
      <rPr>
        <sz val="10"/>
        <rFont val="Arial"/>
        <family val="2"/>
      </rPr>
      <t>)</t>
    </r>
  </si>
  <si>
    <r>
      <rPr>
        <sz val="10"/>
        <color rgb="FFFF0000"/>
        <rFont val="Arial"/>
        <family val="2"/>
      </rPr>
      <t>Gesetzesstand:</t>
    </r>
    <r>
      <rPr>
        <sz val="10"/>
        <rFont val="Arial"/>
        <family val="2"/>
      </rPr>
      <t xml:space="preserve"> Der Prozesskostenrechner ermöglicht die Berechnung nach der Rechtslage bis zum 31.07.2013, nach Inkrafttreten des 2. Kostenrechtsmoder-</t>
    </r>
  </si>
  <si>
    <t>nisierungsgesetzes am 01.08.2013 und nach Inkrafttreten des Kostenrechtsänderungsgesetzes 2021 am 01.01.2021. Für die Gerichtskosten ist gem. § 71</t>
  </si>
  <si>
    <t>Abs. 1 GKG die Rechtslage bei Anhängigkeit, im Rechtsmittelverfahren diejenige bei Einlegung des Rechtsmittels maßgeblich, für die Rechtsanwaltsvergütung</t>
  </si>
  <si>
    <t>gem. § 60 Abs. 1 RVG die Rechtslage bei unbdingter Auftragserteilung für die jeweilige Angelegenheit gem. §§ 16 ff. RVG. Wird als Gesetzesstand "heute"</t>
  </si>
  <si>
    <r>
      <t>Wertstufe:</t>
    </r>
    <r>
      <rPr>
        <sz val="10"/>
        <rFont val="Arial"/>
        <family val="2"/>
      </rPr>
      <t xml:space="preserve"> Die Angabe ermöglicht eine Wertfestsetzung auf "bis zu ... EUR". Die Wertstufen sind nach jeder hier anwendbaren Rechtslage für die Gerichts-</t>
    </r>
  </si>
  <si>
    <t>kosten und die Rechtsanwaltsvergütung identisch.</t>
  </si>
  <si>
    <t>eingegeben, so geht der Prozesskostenrechner vom heutigen Datum aus. Liegt das heutige Datum außerhalb des Gültigkeitsbereichs der aktuellen Rechtslage,</t>
  </si>
  <si>
    <t>wird das Datumsfeld rot gefärbt. In diesem Fall sollten die Datumseinstellungen des Betriebssystems überprüft werden.</t>
  </si>
  <si>
    <t>nalisierung der Sozialhilfe-Regelsätze gem. § 29 XII für die Berechnung der Freibeträge nachvollzogen wird und einige Landkreise höhere Regelsätze festgesetzt</t>
  </si>
  <si>
    <t>haben. Wird "übriges Bundesgebiet" eingegeben oder (hiermit gleichbedeutend) das Feld freigelassen, so geht der PKH-VKH-Rechner von den bundesweit gelten-</t>
  </si>
  <si>
    <t>den Freibeträgen aus.</t>
  </si>
  <si>
    <t>stufe an.</t>
  </si>
  <si>
    <t>Ehegatten/Lebenspartners dann als nicht freibetragsmindernd angesehen wird. Anders als das frühere amtliche Formular bietet das 2014 eingeführte amtliche For-</t>
  </si>
  <si>
    <t>Praktisch relevant sind insbesondere der Mehrbedarf für Alleinerziehende gem. § 21 Abs. 3 SGB II, § 30 Abs. 3 SGB XII und der Mehrbedarf bei dezentraler Warm-</t>
  </si>
  <si>
    <t>wassererzeugung gem. § 21 Abs. 7 SGB II, § 30 Abs. 7 SGB XII.</t>
  </si>
  <si>
    <r>
      <rPr>
        <sz val="10"/>
        <color rgb="FFFF0000"/>
        <rFont val="Arial"/>
        <family val="2"/>
      </rPr>
      <t>Mehrbedarfe:</t>
    </r>
    <r>
      <rPr>
        <sz val="10"/>
        <rFont val="Arial"/>
        <family val="2"/>
      </rPr>
      <t xml:space="preserve"> Hinter der zum 01.01.2014 eingefügten Vorschrift des § 115 Abs. 1 Satz 3 Nr. 4 ZPO stehen zwei verschiedene Regelungsintentionen:</t>
    </r>
  </si>
  <si>
    <t>Bezieht der Antragsteller Leistungen nach SGB II (Grundsicherung für Arbeitssuchende, "Hartz IV") oder nach SGB XII (Sozialhilfe) und hat der Leistungsträger</t>
  </si>
  <si>
    <t>Mehrbedarfe anerkannt, so sind diese Beträge als Einkommen zu erfassen, aber als Mehrbedarf pauschal wieder abzuziehen. Dass mit dieser Regelung ausdrücklich</t>
  </si>
  <si>
    <t>Bezieht der Antragsteller keine Leistungen, sondern bestreitet seinen Lebensunterhalt aus eigenem Einkommen, so sollen ihm die Freibeträge wegen Mehrbedarfs</t>
  </si>
  <si>
    <t>dennoch zugutekommen (BT-Drs. 17/11472, S. 30).</t>
  </si>
  <si>
    <t>die gegenteilige BGH-Rechtsprechung zugunsten einer in der Instanzrechtsprechung teilweise schon bislang vertretenen Auffassung korrigiert werden sollte (BT-Drs.</t>
  </si>
  <si>
    <t>17/11472, S. 30), spricht dafür, die Neuregelung auch auf frühere Sachverhalte anzuwenden.</t>
  </si>
  <si>
    <t>(Eicher/Knickrehm/Hahn: SGB II, § 21, Rdnr. 9) und darüber hinaus einige Landkreise von der nur durch § 29 SGB XII im Rahmen der Regionalisierung einge-</t>
  </si>
  <si>
    <r>
      <rPr>
        <sz val="10"/>
        <color rgb="FFFF0000"/>
        <rFont val="Arial"/>
        <family val="2"/>
      </rPr>
      <t>Wohnort:</t>
    </r>
    <r>
      <rPr>
        <sz val="10"/>
        <rFont val="Arial"/>
        <family val="2"/>
      </rPr>
      <t xml:space="preserve"> Die Angabe ist seit dem 01.01.2021 relevant für die Höhe der Freibeträge gem. PKHB, da seit diesem Zeitpunkt durch § 115 Abs. 1 Satz 5 ZPO die Regio-</t>
    </r>
  </si>
  <si>
    <t>lichen Formular keine Angaben zum Alter gemacht, so ist "keine Angabe" einzugeben. Der PKH-VKH-Rechner setzt dann den Freibetrag für die niedrigste Alters-</t>
  </si>
  <si>
    <r>
      <t xml:space="preserve">Bei dezentraler Warmwassererzeugung kann ein Mehrbedarf gem. § 21 Abs. 7 SGB II, § 30 Abs. 7 SGB XII zu berücksichtigen sein (s. unten </t>
    </r>
    <r>
      <rPr>
        <sz val="10"/>
        <color rgb="FFFF0000"/>
        <rFont val="Arial"/>
        <family val="2"/>
      </rPr>
      <t>Mehrbedarfe</t>
    </r>
    <r>
      <rPr>
        <sz val="10"/>
        <rFont val="Arial"/>
        <family val="2"/>
      </rPr>
      <t>).</t>
    </r>
  </si>
  <si>
    <t>Wie sich ein negativer Basiszinssatz auswirkt, wie er erstmals am 01.01.2013 festgestellt wurde, ist bislang nicht höchstrichterlich geklärt. Der Zinsrechner</t>
  </si>
  <si>
    <t>§ 115 Abs. 1 Satz 5 ZPO</t>
  </si>
  <si>
    <t>Elßholzstraße 30–33, 10781 Berlin</t>
  </si>
  <si>
    <t>PKHB 2022</t>
  </si>
  <si>
    <t>internationaler Frauentag</t>
  </si>
  <si>
    <t>BarbetrV: Verordnung zur Durchführung des § 90 Abs. 2 Nr. 9 des SGB XII, zuletzt geändert durch Gesetz vom 16.12.2022 (BGBl. I S. 2328)</t>
  </si>
  <si>
    <t>nicht ein Betrag von 10.000,00 EUR nach § 1 Satz 1 Nr. 1 BarBetrV angesetzt, weil letztere Vorschrift nur für Ehegatten/Lebenspartner in Bedarfsgemeinschaften</t>
  </si>
  <si>
    <t>gilt und insoweit auf die PKH/VKH-Bewilligung nicht übertragen werden kann (ebenso im Ergebnis Groß: BerH/PKH/VKH, § 115 ZPO, Rdnr. 120). Weil die Fest-</t>
  </si>
  <si>
    <t>stellung des einzusetzenden Vermögens von einer Vielzahl von Faktoren abhängt, nimmt der PKH-VKH-Rechner keine automatische Anrechnung vor, sondern gibt</t>
  </si>
  <si>
    <t>nur eine Eintragungshilfe an, wobei von der im Zeitpunkt der Bewilligungsentscheidung geltenden Fassung der BarbetrV ausgegangen wird. Das Schonvermögen ist</t>
  </si>
  <si>
    <t>ggf. selbst von den im Formular angegebenen Vermögenswerten abzusetzen.</t>
  </si>
  <si>
    <r>
      <t>Berechnungsstichtag</t>
    </r>
    <r>
      <rPr>
        <sz val="10"/>
        <rFont val="Arial"/>
        <family val="2"/>
      </rPr>
      <t xml:space="preserve"> (PKHB, BarbetrV):</t>
    </r>
  </si>
  <si>
    <r>
      <t>Schonvermögen</t>
    </r>
    <r>
      <rPr>
        <sz val="10"/>
        <rFont val="Arial"/>
        <family val="2"/>
      </rPr>
      <t xml:space="preserve"> gem. § 90 Abs. 2 Nr. 9 SGB XII, § 1 Satz 1 BarBetrV in Abhängigkeit vom Gesetzesstand (gesetzliche Vorgaben und </t>
    </r>
    <r>
      <rPr>
        <sz val="10"/>
        <color indexed="10"/>
        <rFont val="Arial"/>
        <family val="2"/>
      </rPr>
      <t>konkrete Berechnung</t>
    </r>
    <r>
      <rPr>
        <sz val="10"/>
        <rFont val="Arial"/>
        <family val="2"/>
      </rPr>
      <t>)</t>
    </r>
  </si>
  <si>
    <t>BarbetrV</t>
  </si>
  <si>
    <t>BarbetrV 2017</t>
  </si>
  <si>
    <t>BarbetrV 2023</t>
  </si>
  <si>
    <t>BarbetrV 2005</t>
  </si>
  <si>
    <t>PKHB 2024</t>
  </si>
  <si>
    <t>gen technischen Möglichkeiten, die beim Inkrafttreten der ZPO nicht absehbar waren, an Gewicht verloren haben. Ob im Einzelfall dennoch § 100 Abs. 1 ZPO und</t>
  </si>
  <si>
    <t>ob darüber hinaus § 100 Abs. 3 ZPO anzuwenden ist, muss eigenverantwortlich beurteilt werden.</t>
  </si>
  <si>
    <t>kommt, nur im Interesse der Prozesswirtschaftlichkeit ab (Anders/Gehle/Göertz: ZPO, § 100, Rdnr. 2, 20). Dieser Gesichtspunkt dürfte aber angesichts der heuti-</t>
  </si>
  <si>
    <t>Fischer: ZPO, § 115, Rdnr. 18 m. Nachw.; im paritätischen Wechselmodell ist der Unterhaltsfreibetrag aufzuteilen, aber zusätzlich der tatsächlich gezahlte Bar-</t>
  </si>
  <si>
    <t>unterhalt zu berücksichtigen, ebd. m. w. Nachw.).</t>
  </si>
  <si>
    <t>Rdnr. M.15 ff.). Bei einem nicht unerheblichen Unterliegen mit Nebenforderungen können auch diese wertmäßig zu berücksichtigen sein (Zöller/Herget: ZPO, § 92,</t>
  </si>
  <si>
    <t>Rdnr. 11).</t>
  </si>
  <si>
    <t>PKHB 2025</t>
  </si>
  <si>
    <t>17. Juni</t>
  </si>
  <si>
    <t>8. Mai</t>
  </si>
  <si>
    <t>Anders/Gehle: Das Assessorexamen im Zivilrecht, 16. Aufl. 2024</t>
  </si>
  <si>
    <t>bis 31.05.2025</t>
  </si>
  <si>
    <t>ab 01.06.2025</t>
  </si>
  <si>
    <t>PKHB 2026: Prozesskostenhilfebekanntmachung 2026 vom 19.12.2025 (BGBl. I Nr. 360)</t>
  </si>
  <si>
    <t>PKHB 2026</t>
  </si>
  <si>
    <t>Zivilprozessrechner v2.42</t>
  </si>
  <si>
    <t>Bearbeitungsstand: 30.01.2026</t>
  </si>
  <si>
    <t>BGB: Bürgerliches Gesetzbuch, zuletzt geändert durch Gesetz vom 12.05.2026 (BGBl. I Nr. 143)</t>
  </si>
  <si>
    <t>GKG: Gerichtskostengesetz, zuletzt geändert durch Gesetz vom 20.05.2026 (BGBl. I Nr. 152)</t>
  </si>
  <si>
    <t>RVG: Rechtsanwaltsvergütungsgesetz, zuletzt geändert durch Gesetz vom 08.12.2025 (BGBl. I Nr. 318)</t>
  </si>
  <si>
    <t>SGB II: Sozialgesetzbuch Zweites Buch, zuletzt geändert durch Gesetz vom 16.04.2026 (BGBl. I Nr. 107)</t>
  </si>
  <si>
    <t>SGB XII: Sozialgesetzbuch Zwölftes Buch, zuletzt geändert durch Gesetz vom 16.04.2026 (BGBl. I Nr. 107)</t>
  </si>
  <si>
    <t>UStG: Umsatzsteuergesetz, zuletzt geändert durch Gesetz vom 04.02.2026 (BGBl. I Nr. 33)</t>
  </si>
  <si>
    <t>ZPO: Zivilprozessordnung, zuletzt geändert durch Gesetz vom 20.05.2026 (BGBl. I Nr. 152)</t>
  </si>
  <si>
    <t>Anders/Gehle: ZPO, 84. Aufl. 2026</t>
  </si>
  <si>
    <t>Mayer/Kroiß: RVG, 9. Aufl. 2025</t>
  </si>
  <si>
    <t>Zinszeitraums der Tag nach Verzugseintritt einzugeben ist (vgl. MünchKomm-BGB/Ernst, § 288, Rdnr. 20 m. w. Nachw.).</t>
  </si>
  <si>
    <t>MünchKomm-BGB, 10. Aufl. 2025</t>
  </si>
  <si>
    <t>Musielak/Voit: ZPO, 23. Aufl. 2026</t>
  </si>
  <si>
    <t>Zöller: ZPO, 36. Aufl. 10/2025</t>
  </si>
  <si>
    <t>Veröffentlichungen der Deutschen Bundesbank gem. § 1 Abs. 1 DÜG bzw. § 247 Abs. 2 BGB, letzter Stand: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</si>
</sst>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d/m"/>
    <numFmt numFmtId="166" formatCode="yyyy"/>
    <numFmt numFmtId="167" formatCode="#,##0.0000"/>
    <numFmt numFmtId="168" formatCode="dd/mm"/>
    <numFmt numFmtId="169" formatCode="#,##0.00;[Red]#,##0.00"/>
    <numFmt numFmtId="170" formatCode="mm/yyyy"/>
    <numFmt numFmtId="171" formatCode="0.00##%"/>
    <numFmt numFmtId="172" formatCode="0.0#"/>
    <numFmt numFmtId="173" formatCode="0.0%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u/>
      <sz val="10"/>
      <name val="Arial"/>
      <family val="2"/>
    </font>
    <font>
      <sz val="10"/>
      <color indexed="10"/>
      <name val="Arial"/>
      <family val="2"/>
    </font>
    <font>
      <b/>
      <sz val="10"/>
      <color indexed="53"/>
      <name val="Arial"/>
      <family val="2"/>
    </font>
    <font>
      <b/>
      <sz val="10"/>
      <color indexed="54"/>
      <name val="Arial"/>
      <family val="2"/>
    </font>
    <font>
      <sz val="10"/>
      <color indexed="9"/>
      <name val="Arial"/>
      <family val="2"/>
    </font>
    <font>
      <sz val="10"/>
      <color indexed="55"/>
      <name val="Arial"/>
      <family val="2"/>
    </font>
    <font>
      <sz val="10"/>
      <color indexed="12"/>
      <name val="Arial"/>
      <family val="2"/>
    </font>
    <font>
      <b/>
      <sz val="10"/>
      <color indexed="61"/>
      <name val="Arial"/>
      <family val="2"/>
    </font>
    <font>
      <b/>
      <sz val="10"/>
      <color indexed="50"/>
      <name val="Arial"/>
      <family val="2"/>
    </font>
    <font>
      <b/>
      <sz val="10"/>
      <color indexed="10"/>
      <name val="Arial"/>
      <family val="2"/>
    </font>
    <font>
      <sz val="10"/>
      <color indexed="14"/>
      <name val="Arial"/>
      <family val="2"/>
    </font>
    <font>
      <b/>
      <sz val="10"/>
      <color rgb="FFFF0000"/>
      <name val="Arial"/>
      <family val="2"/>
    </font>
    <font>
      <sz val="10"/>
      <color theme="0" tint="-0.499984740745262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rgb="FF008000"/>
      <name val="Arial"/>
      <family val="2"/>
    </font>
    <font>
      <sz val="10"/>
      <color rgb="FF96969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77">
    <xf numFmtId="0" fontId="0" fillId="0" borderId="0" xfId="0"/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Protection="1">
      <protection hidden="1"/>
    </xf>
    <xf numFmtId="14" fontId="0" fillId="0" borderId="0" xfId="0" applyNumberFormat="1" applyProtection="1">
      <protection hidden="1"/>
    </xf>
    <xf numFmtId="10" fontId="0" fillId="0" borderId="0" xfId="0" applyNumberFormat="1" applyProtection="1">
      <protection hidden="1"/>
    </xf>
    <xf numFmtId="49" fontId="0" fillId="0" borderId="0" xfId="0" applyNumberFormat="1" applyProtection="1">
      <protection hidden="1"/>
    </xf>
    <xf numFmtId="10" fontId="10" fillId="0" borderId="0" xfId="0" applyNumberFormat="1" applyFont="1" applyProtection="1">
      <protection hidden="1"/>
    </xf>
    <xf numFmtId="10" fontId="2" fillId="0" borderId="0" xfId="0" applyNumberFormat="1" applyFont="1" applyProtection="1">
      <protection hidden="1"/>
    </xf>
    <xf numFmtId="1" fontId="0" fillId="0" borderId="0" xfId="0" applyNumberFormat="1" applyProtection="1">
      <protection hidden="1"/>
    </xf>
    <xf numFmtId="1" fontId="2" fillId="0" borderId="0" xfId="0" applyNumberFormat="1" applyFont="1" applyProtection="1">
      <protection hidden="1"/>
    </xf>
    <xf numFmtId="168" fontId="0" fillId="0" borderId="0" xfId="0" applyNumberFormat="1" applyProtection="1">
      <protection hidden="1"/>
    </xf>
    <xf numFmtId="168" fontId="11" fillId="0" borderId="0" xfId="0" applyNumberFormat="1" applyFont="1" applyProtection="1">
      <protection hidden="1"/>
    </xf>
    <xf numFmtId="0" fontId="6" fillId="0" borderId="0" xfId="0" applyNumberFormat="1" applyFont="1" applyProtection="1">
      <protection hidden="1"/>
    </xf>
    <xf numFmtId="49" fontId="2" fillId="0" borderId="0" xfId="0" applyNumberFormat="1" applyFont="1" applyProtection="1">
      <protection hidden="1"/>
    </xf>
    <xf numFmtId="1" fontId="1" fillId="0" borderId="0" xfId="0" applyNumberFormat="1" applyFont="1" applyProtection="1">
      <protection hidden="1"/>
    </xf>
    <xf numFmtId="0" fontId="1" fillId="0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0" fillId="0" borderId="0" xfId="0" applyBorder="1" applyProtection="1">
      <protection hidden="1"/>
    </xf>
    <xf numFmtId="4" fontId="6" fillId="0" borderId="0" xfId="0" applyNumberFormat="1" applyFont="1" applyProtection="1">
      <protection hidden="1"/>
    </xf>
    <xf numFmtId="1" fontId="6" fillId="0" borderId="0" xfId="0" applyNumberFormat="1" applyFont="1" applyProtection="1">
      <protection hidden="1"/>
    </xf>
    <xf numFmtId="14" fontId="6" fillId="0" borderId="0" xfId="0" applyNumberFormat="1" applyFont="1" applyProtection="1">
      <protection hidden="1"/>
    </xf>
    <xf numFmtId="10" fontId="6" fillId="0" borderId="0" xfId="0" applyNumberFormat="1" applyFont="1" applyProtection="1">
      <protection hidden="1"/>
    </xf>
    <xf numFmtId="167" fontId="6" fillId="0" borderId="0" xfId="0" applyNumberFormat="1" applyFont="1" applyProtection="1">
      <protection hidden="1"/>
    </xf>
    <xf numFmtId="166" fontId="6" fillId="0" borderId="0" xfId="0" applyNumberFormat="1" applyFont="1" applyProtection="1">
      <protection hidden="1"/>
    </xf>
    <xf numFmtId="4" fontId="2" fillId="0" borderId="0" xfId="0" applyNumberFormat="1" applyFont="1" applyProtection="1">
      <protection hidden="1"/>
    </xf>
    <xf numFmtId="170" fontId="6" fillId="0" borderId="0" xfId="0" applyNumberFormat="1" applyFont="1" applyProtection="1">
      <protection hidden="1"/>
    </xf>
    <xf numFmtId="170" fontId="0" fillId="0" borderId="0" xfId="0" applyNumberFormat="1" applyProtection="1">
      <protection hidden="1"/>
    </xf>
    <xf numFmtId="0" fontId="6" fillId="0" borderId="0" xfId="0" applyNumberFormat="1" applyFont="1" applyBorder="1" applyProtection="1">
      <protection hidden="1"/>
    </xf>
    <xf numFmtId="0" fontId="2" fillId="0" borderId="0" xfId="0" applyFont="1" applyBorder="1" applyProtection="1">
      <protection hidden="1"/>
    </xf>
    <xf numFmtId="4" fontId="2" fillId="0" borderId="0" xfId="0" applyNumberFormat="1" applyFont="1" applyBorder="1" applyProtection="1">
      <protection hidden="1"/>
    </xf>
    <xf numFmtId="4" fontId="0" fillId="0" borderId="0" xfId="0" applyNumberFormat="1" applyBorder="1" applyProtection="1">
      <protection hidden="1"/>
    </xf>
    <xf numFmtId="4" fontId="6" fillId="0" borderId="0" xfId="0" applyNumberFormat="1" applyFont="1" applyBorder="1" applyProtection="1">
      <protection hidden="1"/>
    </xf>
    <xf numFmtId="164" fontId="6" fillId="0" borderId="0" xfId="0" applyNumberFormat="1" applyFont="1" applyBorder="1" applyProtection="1">
      <protection hidden="1"/>
    </xf>
    <xf numFmtId="1" fontId="6" fillId="0" borderId="0" xfId="0" applyNumberFormat="1" applyFont="1" applyBorder="1" applyProtection="1">
      <protection hidden="1"/>
    </xf>
    <xf numFmtId="4" fontId="0" fillId="0" borderId="0" xfId="0" applyNumberFormat="1" applyFill="1" applyProtection="1">
      <protection hidden="1"/>
    </xf>
    <xf numFmtId="0" fontId="6" fillId="0" borderId="0" xfId="0" applyFont="1" applyFill="1" applyProtection="1">
      <protection hidden="1"/>
    </xf>
    <xf numFmtId="4" fontId="6" fillId="0" borderId="0" xfId="0" applyNumberFormat="1" applyFont="1" applyFill="1" applyProtection="1">
      <protection hidden="1"/>
    </xf>
    <xf numFmtId="1" fontId="6" fillId="0" borderId="0" xfId="0" applyNumberFormat="1" applyFont="1" applyFill="1" applyProtection="1">
      <protection hidden="1"/>
    </xf>
    <xf numFmtId="0" fontId="11" fillId="0" borderId="0" xfId="0" applyFont="1" applyFill="1" applyProtection="1">
      <protection hidden="1"/>
    </xf>
    <xf numFmtId="0" fontId="11" fillId="0" borderId="0" xfId="0" applyFont="1" applyProtection="1">
      <protection hidden="1"/>
    </xf>
    <xf numFmtId="4" fontId="11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14" fontId="11" fillId="0" borderId="0" xfId="0" applyNumberFormat="1" applyFont="1" applyProtection="1">
      <protection hidden="1"/>
    </xf>
    <xf numFmtId="0" fontId="0" fillId="0" borderId="0" xfId="0" applyAlignment="1" applyProtection="1">
      <alignment vertical="top"/>
      <protection hidden="1"/>
    </xf>
    <xf numFmtId="0" fontId="4" fillId="3" borderId="2" xfId="0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2" fillId="0" borderId="0" xfId="0" applyFont="1" applyFill="1" applyBorder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1" fillId="4" borderId="3" xfId="0" applyFont="1" applyFill="1" applyBorder="1" applyAlignment="1" applyProtection="1">
      <alignment vertical="top"/>
      <protection hidden="1"/>
    </xf>
    <xf numFmtId="0" fontId="1" fillId="4" borderId="1" xfId="0" applyFont="1" applyFill="1" applyBorder="1" applyAlignment="1" applyProtection="1">
      <alignment vertical="top"/>
      <protection hidden="1"/>
    </xf>
    <xf numFmtId="0" fontId="0" fillId="0" borderId="5" xfId="0" applyBorder="1" applyAlignment="1" applyProtection="1">
      <alignment vertical="top"/>
      <protection hidden="1"/>
    </xf>
    <xf numFmtId="0" fontId="2" fillId="4" borderId="6" xfId="0" applyFont="1" applyFill="1" applyBorder="1" applyAlignment="1" applyProtection="1">
      <alignment vertical="top"/>
      <protection hidden="1"/>
    </xf>
    <xf numFmtId="0" fontId="2" fillId="4" borderId="8" xfId="0" applyFont="1" applyFill="1" applyBorder="1" applyAlignment="1" applyProtection="1">
      <alignment vertical="top"/>
      <protection hidden="1"/>
    </xf>
    <xf numFmtId="49" fontId="4" fillId="3" borderId="9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Alignment="1" applyProtection="1">
      <alignment vertical="top"/>
      <protection hidden="1"/>
    </xf>
    <xf numFmtId="0" fontId="1" fillId="2" borderId="3" xfId="0" applyFont="1" applyFill="1" applyBorder="1" applyAlignment="1" applyProtection="1">
      <alignment vertical="top"/>
      <protection hidden="1"/>
    </xf>
    <xf numFmtId="0" fontId="2" fillId="2" borderId="1" xfId="0" applyNumberFormat="1" applyFont="1" applyFill="1" applyBorder="1" applyAlignment="1" applyProtection="1">
      <alignment vertical="top"/>
      <protection hidden="1"/>
    </xf>
    <xf numFmtId="0" fontId="0" fillId="2" borderId="10" xfId="0" applyFill="1" applyBorder="1" applyAlignment="1" applyProtection="1">
      <alignment vertical="top"/>
      <protection hidden="1"/>
    </xf>
    <xf numFmtId="0" fontId="2" fillId="2" borderId="6" xfId="0" applyFont="1" applyFill="1" applyBorder="1" applyAlignment="1" applyProtection="1">
      <alignment vertical="top"/>
      <protection hidden="1"/>
    </xf>
    <xf numFmtId="4" fontId="2" fillId="2" borderId="0" xfId="0" applyNumberFormat="1" applyFont="1" applyFill="1" applyBorder="1" applyAlignment="1" applyProtection="1">
      <alignment vertical="top"/>
      <protection hidden="1"/>
    </xf>
    <xf numFmtId="0" fontId="0" fillId="2" borderId="0" xfId="0" applyFill="1" applyBorder="1" applyAlignment="1" applyProtection="1">
      <alignment vertical="top"/>
      <protection hidden="1"/>
    </xf>
    <xf numFmtId="0" fontId="0" fillId="2" borderId="11" xfId="0" applyFill="1" applyBorder="1" applyAlignment="1" applyProtection="1">
      <alignment vertical="top"/>
      <protection hidden="1"/>
    </xf>
    <xf numFmtId="4" fontId="1" fillId="2" borderId="0" xfId="0" applyNumberFormat="1" applyFont="1" applyFill="1" applyBorder="1" applyAlignment="1" applyProtection="1">
      <alignment vertical="top"/>
      <protection hidden="1"/>
    </xf>
    <xf numFmtId="4" fontId="0" fillId="0" borderId="0" xfId="0" applyNumberFormat="1" applyAlignment="1" applyProtection="1">
      <alignment vertical="top"/>
      <protection hidden="1"/>
    </xf>
    <xf numFmtId="0" fontId="5" fillId="2" borderId="6" xfId="0" applyFont="1" applyFill="1" applyBorder="1" applyAlignment="1" applyProtection="1">
      <alignment vertical="top"/>
      <protection hidden="1"/>
    </xf>
    <xf numFmtId="9" fontId="3" fillId="2" borderId="0" xfId="0" applyNumberFormat="1" applyFont="1" applyFill="1" applyBorder="1" applyAlignment="1" applyProtection="1">
      <alignment vertical="top"/>
      <protection hidden="1"/>
    </xf>
    <xf numFmtId="4" fontId="0" fillId="2" borderId="0" xfId="0" applyNumberFormat="1" applyFill="1" applyBorder="1" applyAlignment="1" applyProtection="1">
      <alignment vertical="top"/>
      <protection hidden="1"/>
    </xf>
    <xf numFmtId="0" fontId="1" fillId="2" borderId="0" xfId="0" applyFont="1" applyFill="1" applyBorder="1" applyAlignment="1" applyProtection="1">
      <alignment vertical="top"/>
      <protection hidden="1"/>
    </xf>
    <xf numFmtId="0" fontId="1" fillId="2" borderId="11" xfId="0" applyFont="1" applyFill="1" applyBorder="1" applyAlignment="1" applyProtection="1">
      <alignment vertical="top"/>
      <protection hidden="1"/>
    </xf>
    <xf numFmtId="49" fontId="4" fillId="3" borderId="12" xfId="0" applyNumberFormat="1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>
      <alignment vertical="top"/>
      <protection hidden="1"/>
    </xf>
    <xf numFmtId="0" fontId="2" fillId="2" borderId="11" xfId="0" applyFont="1" applyFill="1" applyBorder="1" applyAlignment="1" applyProtection="1">
      <alignment vertical="top"/>
      <protection hidden="1"/>
    </xf>
    <xf numFmtId="0" fontId="0" fillId="0" borderId="0" xfId="0" applyNumberFormat="1" applyAlignment="1" applyProtection="1">
      <alignment vertical="top"/>
      <protection hidden="1"/>
    </xf>
    <xf numFmtId="164" fontId="0" fillId="2" borderId="0" xfId="0" applyNumberFormat="1" applyFill="1" applyBorder="1" applyAlignment="1" applyProtection="1">
      <alignment vertical="top"/>
      <protection hidden="1"/>
    </xf>
    <xf numFmtId="0" fontId="5" fillId="2" borderId="8" xfId="0" applyFont="1" applyFill="1" applyBorder="1" applyAlignment="1" applyProtection="1">
      <alignment vertical="top"/>
      <protection hidden="1"/>
    </xf>
    <xf numFmtId="0" fontId="2" fillId="2" borderId="14" xfId="0" applyFont="1" applyFill="1" applyBorder="1" applyAlignment="1" applyProtection="1">
      <alignment vertical="top"/>
      <protection hidden="1"/>
    </xf>
    <xf numFmtId="164" fontId="4" fillId="2" borderId="14" xfId="0" applyNumberFormat="1" applyFont="1" applyFill="1" applyBorder="1" applyAlignment="1" applyProtection="1">
      <alignment vertical="top"/>
      <protection hidden="1"/>
    </xf>
    <xf numFmtId="4" fontId="1" fillId="2" borderId="14" xfId="0" applyNumberFormat="1" applyFont="1" applyFill="1" applyBorder="1" applyAlignment="1" applyProtection="1">
      <alignment vertical="top"/>
      <protection hidden="1"/>
    </xf>
    <xf numFmtId="4" fontId="1" fillId="2" borderId="15" xfId="0" applyNumberFormat="1" applyFont="1" applyFill="1" applyBorder="1" applyAlignment="1" applyProtection="1">
      <alignment vertical="top"/>
      <protection hidden="1"/>
    </xf>
    <xf numFmtId="9" fontId="4" fillId="0" borderId="0" xfId="0" applyNumberFormat="1" applyFont="1" applyAlignment="1" applyProtection="1">
      <alignment vertical="top"/>
      <protection hidden="1"/>
    </xf>
    <xf numFmtId="0" fontId="1" fillId="5" borderId="3" xfId="0" applyFont="1" applyFill="1" applyBorder="1" applyAlignment="1" applyProtection="1">
      <alignment vertical="top"/>
      <protection hidden="1"/>
    </xf>
    <xf numFmtId="0" fontId="1" fillId="5" borderId="1" xfId="0" applyFont="1" applyFill="1" applyBorder="1" applyAlignment="1" applyProtection="1">
      <alignment vertical="top"/>
      <protection hidden="1"/>
    </xf>
    <xf numFmtId="0" fontId="0" fillId="5" borderId="1" xfId="0" applyFill="1" applyBorder="1" applyAlignment="1" applyProtection="1">
      <alignment vertical="top"/>
      <protection hidden="1"/>
    </xf>
    <xf numFmtId="0" fontId="0" fillId="5" borderId="10" xfId="0" applyFill="1" applyBorder="1" applyAlignment="1" applyProtection="1">
      <alignment vertical="top"/>
      <protection hidden="1"/>
    </xf>
    <xf numFmtId="0" fontId="2" fillId="5" borderId="6" xfId="0" applyFont="1" applyFill="1" applyBorder="1" applyAlignment="1" applyProtection="1">
      <alignment vertical="top"/>
      <protection hidden="1"/>
    </xf>
    <xf numFmtId="4" fontId="2" fillId="5" borderId="0" xfId="0" applyNumberFormat="1" applyFont="1" applyFill="1" applyBorder="1" applyAlignment="1" applyProtection="1">
      <alignment vertical="top"/>
      <protection hidden="1"/>
    </xf>
    <xf numFmtId="0" fontId="0" fillId="5" borderId="0" xfId="0" applyFill="1" applyBorder="1" applyAlignment="1" applyProtection="1">
      <alignment vertical="top"/>
      <protection hidden="1"/>
    </xf>
    <xf numFmtId="4" fontId="1" fillId="5" borderId="0" xfId="0" applyNumberFormat="1" applyFont="1" applyFill="1" applyBorder="1" applyAlignment="1" applyProtection="1">
      <alignment vertical="top"/>
      <protection hidden="1"/>
    </xf>
    <xf numFmtId="0" fontId="5" fillId="5" borderId="6" xfId="0" applyFont="1" applyFill="1" applyBorder="1" applyAlignment="1" applyProtection="1">
      <alignment vertical="top"/>
      <protection hidden="1"/>
    </xf>
    <xf numFmtId="4" fontId="0" fillId="5" borderId="0" xfId="0" applyNumberFormat="1" applyFill="1" applyBorder="1" applyAlignment="1" applyProtection="1">
      <alignment vertical="top"/>
      <protection hidden="1"/>
    </xf>
    <xf numFmtId="0" fontId="2" fillId="5" borderId="0" xfId="0" applyFont="1" applyFill="1" applyBorder="1" applyAlignment="1" applyProtection="1">
      <alignment vertical="top"/>
      <protection hidden="1"/>
    </xf>
    <xf numFmtId="0" fontId="2" fillId="5" borderId="11" xfId="0" applyFont="1" applyFill="1" applyBorder="1" applyAlignment="1" applyProtection="1">
      <alignment vertical="top"/>
      <protection hidden="1"/>
    </xf>
    <xf numFmtId="49" fontId="4" fillId="3" borderId="16" xfId="0" applyNumberFormat="1" applyFont="1" applyFill="1" applyBorder="1" applyAlignment="1" applyProtection="1">
      <alignment vertical="top"/>
      <protection locked="0"/>
    </xf>
    <xf numFmtId="4" fontId="2" fillId="5" borderId="11" xfId="0" applyNumberFormat="1" applyFont="1" applyFill="1" applyBorder="1" applyAlignment="1" applyProtection="1">
      <alignment vertical="top"/>
      <protection hidden="1"/>
    </xf>
    <xf numFmtId="49" fontId="4" fillId="3" borderId="18" xfId="0" applyNumberFormat="1" applyFont="1" applyFill="1" applyBorder="1" applyAlignment="1" applyProtection="1">
      <alignment vertical="top"/>
      <protection locked="0"/>
    </xf>
    <xf numFmtId="49" fontId="4" fillId="3" borderId="20" xfId="0" applyNumberFormat="1" applyFont="1" applyFill="1" applyBorder="1" applyAlignment="1" applyProtection="1">
      <alignment vertical="top"/>
      <protection locked="0"/>
    </xf>
    <xf numFmtId="0" fontId="0" fillId="5" borderId="6" xfId="0" applyFill="1" applyBorder="1" applyAlignment="1" applyProtection="1">
      <alignment vertical="top"/>
      <protection hidden="1"/>
    </xf>
    <xf numFmtId="164" fontId="0" fillId="5" borderId="0" xfId="0" applyNumberFormat="1" applyFill="1" applyBorder="1" applyAlignment="1" applyProtection="1">
      <alignment vertical="top"/>
      <protection hidden="1"/>
    </xf>
    <xf numFmtId="2" fontId="4" fillId="5" borderId="0" xfId="0" applyNumberFormat="1" applyFont="1" applyFill="1" applyBorder="1" applyAlignment="1" applyProtection="1">
      <alignment vertical="top"/>
      <protection hidden="1"/>
    </xf>
    <xf numFmtId="0" fontId="5" fillId="5" borderId="8" xfId="0" applyFont="1" applyFill="1" applyBorder="1" applyAlignment="1" applyProtection="1">
      <alignment vertical="top"/>
      <protection hidden="1"/>
    </xf>
    <xf numFmtId="0" fontId="0" fillId="5" borderId="14" xfId="0" applyFill="1" applyBorder="1" applyAlignment="1" applyProtection="1">
      <alignment vertical="top"/>
      <protection hidden="1"/>
    </xf>
    <xf numFmtId="4" fontId="1" fillId="5" borderId="14" xfId="0" applyNumberFormat="1" applyFont="1" applyFill="1" applyBorder="1" applyAlignment="1" applyProtection="1">
      <alignment vertical="top"/>
      <protection hidden="1"/>
    </xf>
    <xf numFmtId="0" fontId="0" fillId="5" borderId="15" xfId="0" applyFill="1" applyBorder="1" applyAlignment="1" applyProtection="1">
      <alignment vertical="top"/>
      <protection hidden="1"/>
    </xf>
    <xf numFmtId="0" fontId="1" fillId="6" borderId="3" xfId="0" applyFont="1" applyFill="1" applyBorder="1" applyAlignment="1" applyProtection="1">
      <alignment vertical="top"/>
      <protection hidden="1"/>
    </xf>
    <xf numFmtId="0" fontId="1" fillId="6" borderId="1" xfId="0" applyFont="1" applyFill="1" applyBorder="1" applyAlignment="1" applyProtection="1">
      <alignment vertical="top"/>
      <protection hidden="1"/>
    </xf>
    <xf numFmtId="0" fontId="0" fillId="6" borderId="1" xfId="0" applyFill="1" applyBorder="1" applyAlignment="1" applyProtection="1">
      <alignment vertical="top"/>
      <protection hidden="1"/>
    </xf>
    <xf numFmtId="0" fontId="0" fillId="6" borderId="10" xfId="0" applyFill="1" applyBorder="1" applyAlignment="1" applyProtection="1">
      <alignment vertical="top"/>
      <protection hidden="1"/>
    </xf>
    <xf numFmtId="0" fontId="0" fillId="6" borderId="6" xfId="0" applyFill="1" applyBorder="1" applyAlignment="1" applyProtection="1">
      <alignment vertical="top"/>
      <protection hidden="1"/>
    </xf>
    <xf numFmtId="0" fontId="0" fillId="6" borderId="0" xfId="0" applyFill="1" applyBorder="1" applyAlignment="1" applyProtection="1">
      <alignment vertical="top"/>
      <protection hidden="1"/>
    </xf>
    <xf numFmtId="4" fontId="1" fillId="6" borderId="0" xfId="0" applyNumberFormat="1" applyFont="1" applyFill="1" applyBorder="1" applyAlignment="1" applyProtection="1">
      <alignment vertical="top"/>
      <protection hidden="1"/>
    </xf>
    <xf numFmtId="4" fontId="1" fillId="6" borderId="11" xfId="0" applyNumberFormat="1" applyFont="1" applyFill="1" applyBorder="1" applyAlignment="1" applyProtection="1">
      <alignment vertical="top"/>
      <protection hidden="1"/>
    </xf>
    <xf numFmtId="0" fontId="0" fillId="6" borderId="8" xfId="0" applyFill="1" applyBorder="1" applyAlignment="1" applyProtection="1">
      <alignment vertical="top"/>
      <protection hidden="1"/>
    </xf>
    <xf numFmtId="0" fontId="0" fillId="6" borderId="14" xfId="0" applyFill="1" applyBorder="1" applyAlignment="1" applyProtection="1">
      <alignment vertical="top"/>
      <protection hidden="1"/>
    </xf>
    <xf numFmtId="4" fontId="1" fillId="6" borderId="14" xfId="0" applyNumberFormat="1" applyFont="1" applyFill="1" applyBorder="1" applyAlignment="1" applyProtection="1">
      <alignment vertical="top"/>
      <protection hidden="1"/>
    </xf>
    <xf numFmtId="4" fontId="1" fillId="6" borderId="15" xfId="0" applyNumberFormat="1" applyFont="1" applyFill="1" applyBorder="1" applyAlignment="1" applyProtection="1">
      <alignment vertical="top"/>
      <protection hidden="1"/>
    </xf>
    <xf numFmtId="0" fontId="1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vertical="top"/>
      <protection hidden="1"/>
    </xf>
    <xf numFmtId="0" fontId="2" fillId="3" borderId="22" xfId="0" applyFont="1" applyFill="1" applyBorder="1" applyAlignment="1" applyProtection="1">
      <alignment vertical="top"/>
      <protection hidden="1"/>
    </xf>
    <xf numFmtId="0" fontId="0" fillId="3" borderId="1" xfId="0" applyFill="1" applyBorder="1" applyAlignment="1" applyProtection="1">
      <alignment vertical="top"/>
      <protection hidden="1"/>
    </xf>
    <xf numFmtId="0" fontId="0" fillId="3" borderId="10" xfId="0" applyFill="1" applyBorder="1" applyAlignment="1" applyProtection="1">
      <alignment vertical="top"/>
      <protection hidden="1"/>
    </xf>
    <xf numFmtId="0" fontId="2" fillId="3" borderId="6" xfId="0" applyFont="1" applyFill="1" applyBorder="1" applyAlignment="1" applyProtection="1">
      <alignment vertical="top"/>
      <protection hidden="1"/>
    </xf>
    <xf numFmtId="0" fontId="0" fillId="3" borderId="0" xfId="0" applyFill="1" applyBorder="1" applyAlignment="1" applyProtection="1">
      <alignment vertical="top"/>
      <protection hidden="1"/>
    </xf>
    <xf numFmtId="0" fontId="0" fillId="3" borderId="11" xfId="0" applyFill="1" applyBorder="1" applyAlignment="1" applyProtection="1">
      <alignment vertical="top"/>
      <protection hidden="1"/>
    </xf>
    <xf numFmtId="0" fontId="0" fillId="3" borderId="6" xfId="0" applyFill="1" applyBorder="1" applyAlignment="1" applyProtection="1">
      <alignment vertical="top"/>
      <protection hidden="1"/>
    </xf>
    <xf numFmtId="0" fontId="0" fillId="3" borderId="8" xfId="0" applyFill="1" applyBorder="1" applyAlignment="1" applyProtection="1">
      <alignment vertical="top"/>
      <protection hidden="1"/>
    </xf>
    <xf numFmtId="0" fontId="0" fillId="3" borderId="14" xfId="0" applyFill="1" applyBorder="1" applyAlignment="1" applyProtection="1">
      <alignment vertical="top"/>
      <protection hidden="1"/>
    </xf>
    <xf numFmtId="0" fontId="0" fillId="3" borderId="15" xfId="0" applyFill="1" applyBorder="1" applyAlignment="1" applyProtection="1">
      <alignment vertical="top"/>
      <protection hidden="1"/>
    </xf>
    <xf numFmtId="0" fontId="4" fillId="3" borderId="23" xfId="0" applyFont="1" applyFill="1" applyBorder="1" applyAlignment="1" applyProtection="1">
      <alignment vertical="top"/>
      <protection hidden="1"/>
    </xf>
    <xf numFmtId="0" fontId="0" fillId="3" borderId="24" xfId="0" applyFill="1" applyBorder="1" applyAlignment="1" applyProtection="1">
      <alignment vertical="top"/>
      <protection hidden="1"/>
    </xf>
    <xf numFmtId="0" fontId="0" fillId="3" borderId="25" xfId="0" applyFill="1" applyBorder="1" applyAlignment="1" applyProtection="1">
      <alignment vertical="top"/>
      <protection hidden="1"/>
    </xf>
    <xf numFmtId="0" fontId="0" fillId="7" borderId="27" xfId="0" applyFill="1" applyBorder="1" applyAlignment="1" applyProtection="1">
      <alignment vertical="top"/>
      <protection hidden="1"/>
    </xf>
    <xf numFmtId="0" fontId="0" fillId="0" borderId="0" xfId="0" applyFill="1" applyAlignment="1" applyProtection="1">
      <alignment vertical="top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2" fillId="0" borderId="0" xfId="0" applyFont="1" applyFill="1" applyAlignment="1" applyProtection="1">
      <alignment vertical="top"/>
      <protection hidden="1"/>
    </xf>
    <xf numFmtId="0" fontId="2" fillId="0" borderId="0" xfId="0" applyFont="1" applyFill="1" applyAlignment="1" applyProtection="1">
      <alignment horizontal="right" vertical="top"/>
      <protection hidden="1"/>
    </xf>
    <xf numFmtId="14" fontId="2" fillId="0" borderId="0" xfId="0" applyNumberFormat="1" applyFont="1" applyFill="1" applyAlignment="1" applyProtection="1">
      <alignment vertical="top"/>
      <protection hidden="1"/>
    </xf>
    <xf numFmtId="165" fontId="2" fillId="0" borderId="0" xfId="0" applyNumberFormat="1" applyFont="1" applyFill="1" applyAlignment="1" applyProtection="1">
      <alignment horizontal="right" vertical="top"/>
      <protection hidden="1"/>
    </xf>
    <xf numFmtId="0" fontId="1" fillId="0" borderId="3" xfId="0" applyFont="1" applyFill="1" applyBorder="1" applyAlignment="1" applyProtection="1">
      <alignment vertical="top"/>
      <protection hidden="1"/>
    </xf>
    <xf numFmtId="0" fontId="1" fillId="0" borderId="28" xfId="0" applyFont="1" applyFill="1" applyBorder="1" applyAlignment="1" applyProtection="1">
      <alignment vertical="top"/>
      <protection hidden="1"/>
    </xf>
    <xf numFmtId="4" fontId="1" fillId="0" borderId="29" xfId="0" applyNumberFormat="1" applyFont="1" applyFill="1" applyBorder="1" applyAlignment="1" applyProtection="1">
      <alignment vertical="top"/>
      <protection hidden="1"/>
    </xf>
    <xf numFmtId="0" fontId="2" fillId="0" borderId="30" xfId="0" applyFont="1" applyFill="1" applyBorder="1" applyAlignment="1" applyProtection="1">
      <alignment vertical="top"/>
      <protection hidden="1"/>
    </xf>
    <xf numFmtId="0" fontId="1" fillId="0" borderId="28" xfId="0" applyNumberFormat="1" applyFont="1" applyFill="1" applyBorder="1" applyAlignment="1" applyProtection="1">
      <alignment vertical="top"/>
      <protection hidden="1"/>
    </xf>
    <xf numFmtId="0" fontId="2" fillId="0" borderId="31" xfId="0" applyFont="1" applyFill="1" applyBorder="1" applyAlignment="1" applyProtection="1">
      <alignment vertical="top"/>
      <protection hidden="1"/>
    </xf>
    <xf numFmtId="0" fontId="2" fillId="0" borderId="8" xfId="0" applyFont="1" applyFill="1" applyBorder="1" applyAlignment="1" applyProtection="1">
      <alignment vertical="top"/>
      <protection hidden="1"/>
    </xf>
    <xf numFmtId="14" fontId="2" fillId="0" borderId="14" xfId="0" applyNumberFormat="1" applyFont="1" applyFill="1" applyBorder="1" applyAlignment="1" applyProtection="1">
      <alignment vertical="top"/>
      <protection hidden="1"/>
    </xf>
    <xf numFmtId="14" fontId="1" fillId="0" borderId="15" xfId="0" applyNumberFormat="1" applyFont="1" applyFill="1" applyBorder="1" applyAlignment="1" applyProtection="1">
      <alignment vertical="top"/>
      <protection hidden="1"/>
    </xf>
    <xf numFmtId="0" fontId="2" fillId="0" borderId="33" xfId="0" applyFont="1" applyFill="1" applyBorder="1" applyAlignment="1" applyProtection="1">
      <alignment vertical="top"/>
      <protection hidden="1"/>
    </xf>
    <xf numFmtId="14" fontId="2" fillId="0" borderId="0" xfId="0" applyNumberFormat="1" applyFont="1" applyFill="1" applyBorder="1" applyAlignment="1" applyProtection="1">
      <alignment vertical="top"/>
      <protection hidden="1"/>
    </xf>
    <xf numFmtId="14" fontId="1" fillId="0" borderId="0" xfId="0" applyNumberFormat="1" applyFont="1" applyFill="1" applyBorder="1" applyAlignment="1" applyProtection="1">
      <alignment vertical="top"/>
      <protection hidden="1"/>
    </xf>
    <xf numFmtId="9" fontId="1" fillId="0" borderId="0" xfId="0" applyNumberFormat="1" applyFont="1" applyFill="1" applyAlignment="1" applyProtection="1">
      <alignment vertical="top"/>
      <protection hidden="1"/>
    </xf>
    <xf numFmtId="9" fontId="1" fillId="0" borderId="28" xfId="0" applyNumberFormat="1" applyFont="1" applyFill="1" applyBorder="1" applyAlignment="1" applyProtection="1">
      <alignment vertical="top"/>
      <protection hidden="1"/>
    </xf>
    <xf numFmtId="0" fontId="2" fillId="0" borderId="28" xfId="0" applyFont="1" applyFill="1" applyBorder="1" applyAlignment="1" applyProtection="1">
      <alignment vertical="top"/>
      <protection hidden="1"/>
    </xf>
    <xf numFmtId="0" fontId="2" fillId="0" borderId="29" xfId="0" applyFont="1" applyFill="1" applyBorder="1" applyAlignment="1" applyProtection="1">
      <alignment vertical="top"/>
      <protection hidden="1"/>
    </xf>
    <xf numFmtId="4" fontId="2" fillId="0" borderId="35" xfId="0" applyNumberFormat="1" applyFont="1" applyFill="1" applyBorder="1" applyAlignment="1" applyProtection="1">
      <alignment vertical="top"/>
      <protection hidden="1"/>
    </xf>
    <xf numFmtId="0" fontId="2" fillId="0" borderId="23" xfId="0" applyFont="1" applyFill="1" applyBorder="1" applyAlignment="1" applyProtection="1">
      <alignment vertical="top"/>
      <protection hidden="1"/>
    </xf>
    <xf numFmtId="0" fontId="2" fillId="0" borderId="24" xfId="0" applyFont="1" applyFill="1" applyBorder="1" applyAlignment="1" applyProtection="1">
      <alignment vertical="top"/>
      <protection hidden="1"/>
    </xf>
    <xf numFmtId="0" fontId="2" fillId="0" borderId="11" xfId="0" applyFont="1" applyFill="1" applyBorder="1" applyAlignment="1" applyProtection="1">
      <alignment vertical="top"/>
      <protection hidden="1"/>
    </xf>
    <xf numFmtId="0" fontId="2" fillId="0" borderId="36" xfId="0" applyFont="1" applyFill="1" applyBorder="1" applyAlignment="1" applyProtection="1">
      <alignment vertical="top"/>
      <protection hidden="1"/>
    </xf>
    <xf numFmtId="4" fontId="1" fillId="0" borderId="37" xfId="0" applyNumberFormat="1" applyFont="1" applyFill="1" applyBorder="1" applyAlignment="1" applyProtection="1">
      <alignment vertical="top"/>
      <protection hidden="1"/>
    </xf>
    <xf numFmtId="0" fontId="2" fillId="0" borderId="38" xfId="0" applyFont="1" applyFill="1" applyBorder="1" applyAlignment="1" applyProtection="1">
      <alignment vertical="top"/>
      <protection hidden="1"/>
    </xf>
    <xf numFmtId="0" fontId="5" fillId="0" borderId="39" xfId="0" applyFont="1" applyFill="1" applyBorder="1" applyAlignment="1" applyProtection="1">
      <alignment vertical="top"/>
      <protection hidden="1"/>
    </xf>
    <xf numFmtId="9" fontId="2" fillId="0" borderId="40" xfId="0" applyNumberFormat="1" applyFont="1" applyFill="1" applyBorder="1" applyAlignment="1" applyProtection="1">
      <alignment vertical="top"/>
      <protection hidden="1"/>
    </xf>
    <xf numFmtId="0" fontId="2" fillId="0" borderId="25" xfId="0" applyFont="1" applyFill="1" applyBorder="1" applyAlignment="1" applyProtection="1">
      <alignment vertical="top"/>
      <protection hidden="1"/>
    </xf>
    <xf numFmtId="4" fontId="2" fillId="0" borderId="21" xfId="0" applyNumberFormat="1" applyFont="1" applyFill="1" applyBorder="1" applyAlignment="1" applyProtection="1">
      <alignment vertical="top"/>
      <protection hidden="1"/>
    </xf>
    <xf numFmtId="0" fontId="5" fillId="0" borderId="36" xfId="0" applyFont="1" applyFill="1" applyBorder="1" applyAlignment="1" applyProtection="1">
      <alignment vertical="top"/>
      <protection hidden="1"/>
    </xf>
    <xf numFmtId="0" fontId="1" fillId="0" borderId="25" xfId="0" applyFont="1" applyFill="1" applyBorder="1" applyAlignment="1" applyProtection="1">
      <alignment vertical="top"/>
      <protection hidden="1"/>
    </xf>
    <xf numFmtId="0" fontId="1" fillId="0" borderId="21" xfId="0" applyFont="1" applyFill="1" applyBorder="1" applyAlignment="1" applyProtection="1">
      <alignment vertical="top"/>
      <protection hidden="1"/>
    </xf>
    <xf numFmtId="0" fontId="1" fillId="0" borderId="41" xfId="0" applyFont="1" applyFill="1" applyBorder="1" applyAlignment="1" applyProtection="1">
      <alignment vertical="top"/>
      <protection hidden="1"/>
    </xf>
    <xf numFmtId="0" fontId="1" fillId="0" borderId="39" xfId="0" applyNumberFormat="1" applyFont="1" applyFill="1" applyBorder="1" applyAlignment="1" applyProtection="1">
      <alignment vertical="top"/>
      <protection hidden="1"/>
    </xf>
    <xf numFmtId="0" fontId="2" fillId="0" borderId="42" xfId="0" applyFont="1" applyFill="1" applyBorder="1" applyAlignment="1" applyProtection="1">
      <alignment vertical="top"/>
      <protection hidden="1"/>
    </xf>
    <xf numFmtId="4" fontId="1" fillId="0" borderId="44" xfId="0" applyNumberFormat="1" applyFont="1" applyFill="1" applyBorder="1" applyAlignment="1" applyProtection="1">
      <alignment vertical="top"/>
      <protection hidden="1"/>
    </xf>
    <xf numFmtId="0" fontId="1" fillId="0" borderId="45" xfId="0" applyFont="1" applyFill="1" applyBorder="1" applyAlignment="1" applyProtection="1">
      <alignment horizontal="center" vertical="top"/>
      <protection hidden="1"/>
    </xf>
    <xf numFmtId="0" fontId="2" fillId="0" borderId="46" xfId="0" applyFont="1" applyFill="1" applyBorder="1" applyAlignment="1" applyProtection="1">
      <alignment vertical="top"/>
      <protection hidden="1"/>
    </xf>
    <xf numFmtId="164" fontId="2" fillId="0" borderId="35" xfId="0" applyNumberFormat="1" applyFont="1" applyFill="1" applyBorder="1" applyAlignment="1" applyProtection="1">
      <alignment vertical="top"/>
      <protection hidden="1"/>
    </xf>
    <xf numFmtId="4" fontId="1" fillId="0" borderId="47" xfId="0" applyNumberFormat="1" applyFont="1" applyFill="1" applyBorder="1" applyAlignment="1" applyProtection="1">
      <alignment vertical="top"/>
      <protection hidden="1"/>
    </xf>
    <xf numFmtId="0" fontId="1" fillId="0" borderId="48" xfId="0" applyFont="1" applyFill="1" applyBorder="1" applyAlignment="1" applyProtection="1">
      <alignment horizontal="center" vertical="top"/>
      <protection hidden="1"/>
    </xf>
    <xf numFmtId="0" fontId="2" fillId="0" borderId="49" xfId="0" applyFont="1" applyFill="1" applyBorder="1" applyAlignment="1" applyProtection="1">
      <alignment vertical="top"/>
      <protection hidden="1"/>
    </xf>
    <xf numFmtId="0" fontId="2" fillId="0" borderId="50" xfId="0" applyFont="1" applyFill="1" applyBorder="1" applyAlignment="1" applyProtection="1">
      <alignment vertical="top"/>
      <protection hidden="1"/>
    </xf>
    <xf numFmtId="164" fontId="2" fillId="0" borderId="51" xfId="0" applyNumberFormat="1" applyFont="1" applyFill="1" applyBorder="1" applyAlignment="1" applyProtection="1">
      <alignment vertical="top"/>
      <protection hidden="1"/>
    </xf>
    <xf numFmtId="4" fontId="1" fillId="0" borderId="52" xfId="0" applyNumberFormat="1" applyFont="1" applyFill="1" applyBorder="1" applyAlignment="1" applyProtection="1">
      <alignment vertical="top"/>
      <protection hidden="1"/>
    </xf>
    <xf numFmtId="0" fontId="1" fillId="0" borderId="53" xfId="0" applyFont="1" applyFill="1" applyBorder="1" applyAlignment="1" applyProtection="1">
      <alignment horizontal="center" vertical="top"/>
      <protection hidden="1"/>
    </xf>
    <xf numFmtId="0" fontId="2" fillId="0" borderId="54" xfId="0" applyFont="1" applyFill="1" applyBorder="1" applyAlignment="1" applyProtection="1">
      <alignment vertical="top"/>
      <protection hidden="1"/>
    </xf>
    <xf numFmtId="0" fontId="2" fillId="0" borderId="55" xfId="0" applyFont="1" applyFill="1" applyBorder="1" applyAlignment="1" applyProtection="1">
      <alignment vertical="top"/>
      <protection hidden="1"/>
    </xf>
    <xf numFmtId="164" fontId="2" fillId="0" borderId="56" xfId="0" applyNumberFormat="1" applyFont="1" applyFill="1" applyBorder="1" applyAlignment="1" applyProtection="1">
      <alignment vertical="top"/>
      <protection hidden="1"/>
    </xf>
    <xf numFmtId="4" fontId="1" fillId="0" borderId="57" xfId="0" applyNumberFormat="1" applyFont="1" applyFill="1" applyBorder="1" applyAlignment="1" applyProtection="1">
      <alignment vertical="top"/>
      <protection hidden="1"/>
    </xf>
    <xf numFmtId="0" fontId="2" fillId="0" borderId="58" xfId="0" applyFont="1" applyFill="1" applyBorder="1" applyAlignment="1" applyProtection="1">
      <alignment vertical="top"/>
      <protection hidden="1"/>
    </xf>
    <xf numFmtId="164" fontId="2" fillId="0" borderId="42" xfId="0" applyNumberFormat="1" applyFont="1" applyFill="1" applyBorder="1" applyAlignment="1" applyProtection="1">
      <alignment vertical="top"/>
      <protection hidden="1"/>
    </xf>
    <xf numFmtId="0" fontId="1" fillId="0" borderId="7" xfId="0" applyFont="1" applyFill="1" applyBorder="1" applyAlignment="1" applyProtection="1">
      <alignment horizontal="center" vertical="top"/>
      <protection hidden="1"/>
    </xf>
    <xf numFmtId="0" fontId="5" fillId="0" borderId="8" xfId="0" applyFont="1" applyFill="1" applyBorder="1" applyAlignment="1" applyProtection="1">
      <alignment vertical="top"/>
      <protection hidden="1"/>
    </xf>
    <xf numFmtId="0" fontId="2" fillId="0" borderId="14" xfId="0" applyFont="1" applyFill="1" applyBorder="1" applyAlignment="1" applyProtection="1">
      <alignment vertical="top"/>
      <protection hidden="1"/>
    </xf>
    <xf numFmtId="164" fontId="1" fillId="0" borderId="14" xfId="0" applyNumberFormat="1" applyFont="1" applyFill="1" applyBorder="1" applyAlignment="1" applyProtection="1">
      <alignment vertical="top"/>
      <protection hidden="1"/>
    </xf>
    <xf numFmtId="4" fontId="1" fillId="0" borderId="59" xfId="0" applyNumberFormat="1" applyFont="1" applyFill="1" applyBorder="1" applyAlignment="1" applyProtection="1">
      <alignment vertical="top"/>
      <protection hidden="1"/>
    </xf>
    <xf numFmtId="0" fontId="2" fillId="0" borderId="60" xfId="0" applyFont="1" applyFill="1" applyBorder="1" applyAlignment="1" applyProtection="1">
      <alignment vertical="top"/>
      <protection hidden="1"/>
    </xf>
    <xf numFmtId="0" fontId="2" fillId="0" borderId="40" xfId="0" applyFont="1" applyFill="1" applyBorder="1" applyAlignment="1" applyProtection="1">
      <alignment vertical="top"/>
      <protection hidden="1"/>
    </xf>
    <xf numFmtId="0" fontId="1" fillId="0" borderId="13" xfId="0" applyFont="1" applyFill="1" applyBorder="1" applyAlignment="1" applyProtection="1">
      <alignment vertical="top"/>
      <protection hidden="1"/>
    </xf>
    <xf numFmtId="0" fontId="2" fillId="0" borderId="13" xfId="0" applyFont="1" applyFill="1" applyBorder="1" applyAlignment="1" applyProtection="1">
      <alignment vertical="top"/>
      <protection hidden="1"/>
    </xf>
    <xf numFmtId="0" fontId="2" fillId="0" borderId="41" xfId="0" applyFont="1" applyFill="1" applyBorder="1" applyAlignment="1" applyProtection="1">
      <alignment vertical="top"/>
      <protection hidden="1"/>
    </xf>
    <xf numFmtId="0" fontId="1" fillId="0" borderId="31" xfId="0" applyNumberFormat="1" applyFont="1" applyFill="1" applyBorder="1" applyAlignment="1" applyProtection="1">
      <alignment vertical="top"/>
      <protection hidden="1"/>
    </xf>
    <xf numFmtId="0" fontId="1" fillId="0" borderId="47" xfId="0" applyFont="1" applyFill="1" applyBorder="1" applyAlignment="1" applyProtection="1">
      <alignment horizontal="center" vertical="top"/>
      <protection hidden="1"/>
    </xf>
    <xf numFmtId="4" fontId="2" fillId="0" borderId="47" xfId="0" applyNumberFormat="1" applyFont="1" applyFill="1" applyBorder="1" applyAlignment="1" applyProtection="1">
      <alignment vertical="top"/>
      <protection hidden="1"/>
    </xf>
    <xf numFmtId="4" fontId="2" fillId="0" borderId="48" xfId="0" applyNumberFormat="1" applyFont="1" applyFill="1" applyBorder="1" applyAlignment="1" applyProtection="1">
      <alignment vertical="top"/>
      <protection hidden="1"/>
    </xf>
    <xf numFmtId="0" fontId="1" fillId="0" borderId="49" xfId="0" applyNumberFormat="1" applyFont="1" applyFill="1" applyBorder="1" applyAlignment="1" applyProtection="1">
      <alignment vertical="top"/>
      <protection hidden="1"/>
    </xf>
    <xf numFmtId="0" fontId="2" fillId="0" borderId="61" xfId="0" applyFont="1" applyFill="1" applyBorder="1" applyAlignment="1" applyProtection="1">
      <alignment vertical="top"/>
      <protection hidden="1"/>
    </xf>
    <xf numFmtId="4" fontId="1" fillId="0" borderId="63" xfId="0" applyNumberFormat="1" applyFont="1" applyFill="1" applyBorder="1" applyAlignment="1" applyProtection="1">
      <alignment vertical="top"/>
      <protection hidden="1"/>
    </xf>
    <xf numFmtId="0" fontId="1" fillId="0" borderId="63" xfId="0" applyFont="1" applyFill="1" applyBorder="1" applyAlignment="1" applyProtection="1">
      <alignment horizontal="center" vertical="top"/>
      <protection hidden="1"/>
    </xf>
    <xf numFmtId="4" fontId="2" fillId="0" borderId="63" xfId="0" applyNumberFormat="1" applyFont="1" applyFill="1" applyBorder="1" applyAlignment="1" applyProtection="1">
      <alignment vertical="top"/>
      <protection hidden="1"/>
    </xf>
    <xf numFmtId="4" fontId="2" fillId="0" borderId="64" xfId="0" applyNumberFormat="1" applyFont="1" applyFill="1" applyBorder="1" applyAlignment="1" applyProtection="1">
      <alignment vertical="top"/>
      <protection hidden="1"/>
    </xf>
    <xf numFmtId="0" fontId="1" fillId="0" borderId="58" xfId="0" applyNumberFormat="1" applyFont="1" applyFill="1" applyBorder="1" applyAlignment="1" applyProtection="1">
      <alignment vertical="top"/>
      <protection hidden="1"/>
    </xf>
    <xf numFmtId="4" fontId="1" fillId="0" borderId="21" xfId="0" applyNumberFormat="1" applyFont="1" applyFill="1" applyBorder="1" applyAlignment="1" applyProtection="1">
      <alignment vertical="top"/>
      <protection hidden="1"/>
    </xf>
    <xf numFmtId="0" fontId="1" fillId="0" borderId="21" xfId="0" applyFont="1" applyFill="1" applyBorder="1" applyAlignment="1" applyProtection="1">
      <alignment horizontal="center" vertical="top"/>
      <protection hidden="1"/>
    </xf>
    <xf numFmtId="4" fontId="2" fillId="0" borderId="65" xfId="0" applyNumberFormat="1" applyFont="1" applyFill="1" applyBorder="1" applyAlignment="1" applyProtection="1">
      <alignment vertical="top"/>
      <protection hidden="1"/>
    </xf>
    <xf numFmtId="0" fontId="1" fillId="0" borderId="37" xfId="0" applyFont="1" applyFill="1" applyBorder="1" applyAlignment="1" applyProtection="1">
      <alignment vertical="top"/>
      <protection hidden="1"/>
    </xf>
    <xf numFmtId="0" fontId="2" fillId="0" borderId="21" xfId="0" applyFont="1" applyFill="1" applyBorder="1" applyAlignment="1" applyProtection="1">
      <alignment vertical="top"/>
      <protection hidden="1"/>
    </xf>
    <xf numFmtId="0" fontId="2" fillId="0" borderId="65" xfId="0" applyFont="1" applyFill="1" applyBorder="1" applyAlignment="1" applyProtection="1">
      <alignment vertical="top"/>
      <protection hidden="1"/>
    </xf>
    <xf numFmtId="0" fontId="2" fillId="0" borderId="66" xfId="0" applyFont="1" applyFill="1" applyBorder="1" applyAlignment="1" applyProtection="1">
      <alignment vertical="top"/>
      <protection hidden="1"/>
    </xf>
    <xf numFmtId="164" fontId="2" fillId="0" borderId="62" xfId="0" applyNumberFormat="1" applyFont="1" applyFill="1" applyBorder="1" applyAlignment="1" applyProtection="1">
      <alignment vertical="top"/>
      <protection hidden="1"/>
    </xf>
    <xf numFmtId="0" fontId="1" fillId="0" borderId="52" xfId="0" applyFont="1" applyFill="1" applyBorder="1" applyAlignment="1" applyProtection="1">
      <alignment horizontal="center" vertical="top"/>
      <protection hidden="1"/>
    </xf>
    <xf numFmtId="4" fontId="2" fillId="0" borderId="52" xfId="0" applyNumberFormat="1" applyFont="1" applyFill="1" applyBorder="1" applyAlignment="1" applyProtection="1">
      <alignment vertical="top"/>
      <protection hidden="1"/>
    </xf>
    <xf numFmtId="4" fontId="2" fillId="0" borderId="53" xfId="0" applyNumberFormat="1" applyFont="1" applyFill="1" applyBorder="1" applyAlignment="1" applyProtection="1">
      <alignment vertical="top"/>
      <protection hidden="1"/>
    </xf>
    <xf numFmtId="0" fontId="1" fillId="0" borderId="57" xfId="0" applyFont="1" applyFill="1" applyBorder="1" applyAlignment="1" applyProtection="1">
      <alignment horizontal="center" vertical="top"/>
      <protection hidden="1"/>
    </xf>
    <xf numFmtId="4" fontId="2" fillId="0" borderId="57" xfId="0" applyNumberFormat="1" applyFont="1" applyFill="1" applyBorder="1" applyAlignment="1" applyProtection="1">
      <alignment vertical="top"/>
      <protection hidden="1"/>
    </xf>
    <xf numFmtId="4" fontId="2" fillId="0" borderId="67" xfId="0" applyNumberFormat="1" applyFont="1" applyFill="1" applyBorder="1" applyAlignment="1" applyProtection="1">
      <alignment vertical="top"/>
      <protection hidden="1"/>
    </xf>
    <xf numFmtId="164" fontId="2" fillId="0" borderId="43" xfId="0" applyNumberFormat="1" applyFont="1" applyFill="1" applyBorder="1" applyAlignment="1" applyProtection="1">
      <alignment vertical="top"/>
      <protection hidden="1"/>
    </xf>
    <xf numFmtId="0" fontId="2" fillId="0" borderId="68" xfId="0" applyFont="1" applyFill="1" applyBorder="1" applyAlignment="1" applyProtection="1">
      <alignment vertical="top"/>
      <protection hidden="1"/>
    </xf>
    <xf numFmtId="0" fontId="5" fillId="0" borderId="66" xfId="0" applyFont="1" applyFill="1" applyBorder="1" applyAlignment="1" applyProtection="1">
      <alignment vertical="top"/>
      <protection hidden="1"/>
    </xf>
    <xf numFmtId="2" fontId="1" fillId="0" borderId="61" xfId="0" applyNumberFormat="1" applyFont="1" applyFill="1" applyBorder="1" applyAlignment="1" applyProtection="1">
      <alignment vertical="top"/>
      <protection hidden="1"/>
    </xf>
    <xf numFmtId="4" fontId="2" fillId="0" borderId="69" xfId="0" applyNumberFormat="1" applyFont="1" applyFill="1" applyBorder="1" applyAlignment="1" applyProtection="1">
      <alignment vertical="top"/>
      <protection hidden="1"/>
    </xf>
    <xf numFmtId="4" fontId="2" fillId="0" borderId="44" xfId="0" applyNumberFormat="1" applyFont="1" applyFill="1" applyBorder="1" applyAlignment="1" applyProtection="1">
      <alignment vertical="top"/>
      <protection hidden="1"/>
    </xf>
    <xf numFmtId="0" fontId="5" fillId="0" borderId="31" xfId="0" applyFont="1" applyFill="1" applyBorder="1" applyAlignment="1" applyProtection="1">
      <alignment vertical="top"/>
      <protection hidden="1"/>
    </xf>
    <xf numFmtId="0" fontId="5" fillId="0" borderId="33" xfId="0" applyFont="1" applyFill="1" applyBorder="1" applyAlignment="1" applyProtection="1">
      <alignment vertical="top"/>
      <protection hidden="1"/>
    </xf>
    <xf numFmtId="0" fontId="2" fillId="0" borderId="70" xfId="0" applyFont="1" applyFill="1" applyBorder="1" applyAlignment="1" applyProtection="1">
      <alignment vertical="top"/>
      <protection hidden="1"/>
    </xf>
    <xf numFmtId="4" fontId="1" fillId="0" borderId="71" xfId="0" applyNumberFormat="1" applyFont="1" applyFill="1" applyBorder="1" applyAlignment="1" applyProtection="1">
      <alignment vertical="top"/>
      <protection hidden="1"/>
    </xf>
    <xf numFmtId="4" fontId="2" fillId="0" borderId="59" xfId="0" applyNumberFormat="1" applyFont="1" applyFill="1" applyBorder="1" applyAlignment="1" applyProtection="1">
      <alignment vertical="top"/>
      <protection hidden="1"/>
    </xf>
    <xf numFmtId="0" fontId="2" fillId="0" borderId="15" xfId="0" applyFont="1" applyFill="1" applyBorder="1" applyAlignment="1" applyProtection="1">
      <alignment vertical="top"/>
      <protection hidden="1"/>
    </xf>
    <xf numFmtId="0" fontId="2" fillId="0" borderId="72" xfId="0" applyFont="1" applyFill="1" applyBorder="1" applyAlignment="1" applyProtection="1">
      <alignment vertical="top"/>
      <protection hidden="1"/>
    </xf>
    <xf numFmtId="0" fontId="2" fillId="0" borderId="4" xfId="0" applyFont="1" applyFill="1" applyBorder="1" applyAlignment="1" applyProtection="1">
      <alignment vertical="top"/>
      <protection hidden="1"/>
    </xf>
    <xf numFmtId="4" fontId="1" fillId="0" borderId="48" xfId="0" applyNumberFormat="1" applyFont="1" applyFill="1" applyBorder="1" applyAlignment="1" applyProtection="1">
      <alignment vertical="top"/>
      <protection hidden="1"/>
    </xf>
    <xf numFmtId="4" fontId="1" fillId="0" borderId="53" xfId="0" applyNumberFormat="1" applyFont="1" applyFill="1" applyBorder="1" applyAlignment="1" applyProtection="1">
      <alignment vertical="top"/>
      <protection hidden="1"/>
    </xf>
    <xf numFmtId="4" fontId="1" fillId="0" borderId="67" xfId="0" applyNumberFormat="1" applyFont="1" applyFill="1" applyBorder="1" applyAlignment="1" applyProtection="1">
      <alignment vertical="top"/>
      <protection hidden="1"/>
    </xf>
    <xf numFmtId="4" fontId="1" fillId="0" borderId="73" xfId="0" applyNumberFormat="1" applyFont="1" applyFill="1" applyBorder="1" applyAlignment="1" applyProtection="1">
      <alignment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13" fillId="3" borderId="5" xfId="0" applyFont="1" applyFill="1" applyBorder="1" applyAlignment="1" applyProtection="1">
      <alignment vertical="top"/>
      <protection hidden="1"/>
    </xf>
    <xf numFmtId="0" fontId="0" fillId="3" borderId="74" xfId="0" applyFill="1" applyBorder="1" applyAlignment="1" applyProtection="1">
      <alignment vertical="top"/>
      <protection hidden="1"/>
    </xf>
    <xf numFmtId="0" fontId="0" fillId="3" borderId="75" xfId="0" applyFill="1" applyBorder="1" applyAlignment="1" applyProtection="1">
      <alignment vertical="top"/>
      <protection hidden="1"/>
    </xf>
    <xf numFmtId="0" fontId="0" fillId="3" borderId="5" xfId="0" applyFill="1" applyBorder="1" applyAlignment="1" applyProtection="1">
      <alignment vertical="top"/>
      <protection hidden="1"/>
    </xf>
    <xf numFmtId="0" fontId="2" fillId="2" borderId="1" xfId="0" applyFont="1" applyFill="1" applyBorder="1" applyAlignment="1" applyProtection="1">
      <alignment vertical="top"/>
      <protection hidden="1"/>
    </xf>
    <xf numFmtId="0" fontId="2" fillId="2" borderId="10" xfId="0" applyFont="1" applyFill="1" applyBorder="1" applyAlignment="1" applyProtection="1">
      <alignment vertical="top"/>
      <protection hidden="1"/>
    </xf>
    <xf numFmtId="0" fontId="0" fillId="2" borderId="6" xfId="0" applyFill="1" applyBorder="1" applyAlignment="1" applyProtection="1">
      <alignment vertical="top"/>
      <protection hidden="1"/>
    </xf>
    <xf numFmtId="0" fontId="2" fillId="2" borderId="76" xfId="0" applyFont="1" applyFill="1" applyBorder="1" applyAlignment="1" applyProtection="1">
      <alignment vertical="top"/>
      <protection hidden="1"/>
    </xf>
    <xf numFmtId="4" fontId="4" fillId="3" borderId="78" xfId="0" applyNumberFormat="1" applyFont="1" applyFill="1" applyBorder="1" applyAlignment="1" applyProtection="1">
      <alignment vertical="top"/>
      <protection locked="0"/>
    </xf>
    <xf numFmtId="4" fontId="4" fillId="3" borderId="23" xfId="0" applyNumberFormat="1" applyFont="1" applyFill="1" applyBorder="1" applyAlignment="1" applyProtection="1">
      <alignment vertical="top"/>
      <protection locked="0"/>
    </xf>
    <xf numFmtId="4" fontId="4" fillId="3" borderId="79" xfId="0" applyNumberFormat="1" applyFont="1" applyFill="1" applyBorder="1" applyAlignment="1" applyProtection="1">
      <alignment vertical="top"/>
      <protection locked="0"/>
    </xf>
    <xf numFmtId="4" fontId="4" fillId="3" borderId="76" xfId="0" applyNumberFormat="1" applyFont="1" applyFill="1" applyBorder="1" applyAlignment="1" applyProtection="1">
      <alignment vertical="top"/>
      <protection locked="0"/>
    </xf>
    <xf numFmtId="4" fontId="0" fillId="0" borderId="42" xfId="0" applyNumberFormat="1" applyFill="1" applyBorder="1" applyAlignment="1" applyProtection="1">
      <alignment vertical="top"/>
      <protection hidden="1"/>
    </xf>
    <xf numFmtId="4" fontId="4" fillId="3" borderId="69" xfId="0" applyNumberFormat="1" applyFont="1" applyFill="1" applyBorder="1" applyAlignment="1" applyProtection="1">
      <alignment vertical="top"/>
      <protection locked="0"/>
    </xf>
    <xf numFmtId="4" fontId="4" fillId="3" borderId="0" xfId="0" applyNumberFormat="1" applyFont="1" applyFill="1" applyBorder="1" applyAlignment="1" applyProtection="1">
      <alignment vertical="top"/>
      <protection locked="0"/>
    </xf>
    <xf numFmtId="4" fontId="4" fillId="3" borderId="7" xfId="0" applyNumberFormat="1" applyFont="1" applyFill="1" applyBorder="1" applyAlignment="1" applyProtection="1">
      <alignment vertical="top"/>
      <protection locked="0"/>
    </xf>
    <xf numFmtId="4" fontId="4" fillId="3" borderId="65" xfId="0" applyNumberFormat="1" applyFont="1" applyFill="1" applyBorder="1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hidden="1"/>
    </xf>
    <xf numFmtId="4" fontId="4" fillId="2" borderId="0" xfId="0" applyNumberFormat="1" applyFont="1" applyFill="1" applyBorder="1" applyAlignment="1" applyProtection="1">
      <alignment vertical="top"/>
      <protection hidden="1"/>
    </xf>
    <xf numFmtId="4" fontId="4" fillId="3" borderId="80" xfId="0" applyNumberFormat="1" applyFont="1" applyFill="1" applyBorder="1" applyAlignment="1" applyProtection="1">
      <alignment vertical="top"/>
      <protection locked="0"/>
    </xf>
    <xf numFmtId="4" fontId="4" fillId="2" borderId="14" xfId="0" applyNumberFormat="1" applyFont="1" applyFill="1" applyBorder="1" applyAlignment="1" applyProtection="1">
      <alignment vertical="top"/>
      <protection hidden="1"/>
    </xf>
    <xf numFmtId="0" fontId="2" fillId="2" borderId="80" xfId="0" applyFont="1" applyFill="1" applyBorder="1" applyAlignment="1" applyProtection="1">
      <alignment vertical="top"/>
      <protection hidden="1"/>
    </xf>
    <xf numFmtId="4" fontId="4" fillId="3" borderId="59" xfId="0" applyNumberFormat="1" applyFont="1" applyFill="1" applyBorder="1" applyAlignment="1" applyProtection="1">
      <alignment vertical="top"/>
      <protection locked="0"/>
    </xf>
    <xf numFmtId="4" fontId="4" fillId="3" borderId="14" xfId="0" applyNumberFormat="1" applyFont="1" applyFill="1" applyBorder="1" applyAlignment="1" applyProtection="1">
      <alignment vertical="top"/>
      <protection locked="0"/>
    </xf>
    <xf numFmtId="4" fontId="4" fillId="3" borderId="9" xfId="0" applyNumberFormat="1" applyFont="1" applyFill="1" applyBorder="1" applyAlignment="1" applyProtection="1">
      <alignment vertical="top"/>
      <protection locked="0"/>
    </xf>
    <xf numFmtId="0" fontId="5" fillId="5" borderId="0" xfId="0" applyFont="1" applyFill="1" applyBorder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0" fillId="5" borderId="8" xfId="0" applyFill="1" applyBorder="1" applyAlignment="1" applyProtection="1">
      <alignment vertical="top"/>
      <protection hidden="1"/>
    </xf>
    <xf numFmtId="0" fontId="0" fillId="4" borderId="1" xfId="0" applyFill="1" applyBorder="1" applyAlignment="1" applyProtection="1">
      <alignment vertical="top"/>
      <protection hidden="1"/>
    </xf>
    <xf numFmtId="0" fontId="2" fillId="4" borderId="0" xfId="0" applyFont="1" applyFill="1" applyBorder="1" applyAlignment="1" applyProtection="1">
      <alignment vertical="top"/>
      <protection hidden="1"/>
    </xf>
    <xf numFmtId="0" fontId="0" fillId="4" borderId="0" xfId="0" applyFill="1" applyBorder="1" applyAlignment="1" applyProtection="1">
      <alignment vertical="top"/>
      <protection hidden="1"/>
    </xf>
    <xf numFmtId="0" fontId="1" fillId="4" borderId="6" xfId="0" applyFont="1" applyFill="1" applyBorder="1" applyAlignment="1" applyProtection="1">
      <alignment vertical="top"/>
      <protection hidden="1"/>
    </xf>
    <xf numFmtId="4" fontId="0" fillId="0" borderId="52" xfId="0" applyNumberFormat="1" applyFill="1" applyBorder="1" applyAlignment="1" applyProtection="1">
      <alignment vertical="top"/>
      <protection hidden="1"/>
    </xf>
    <xf numFmtId="4" fontId="0" fillId="4" borderId="11" xfId="0" applyNumberFormat="1" applyFill="1" applyBorder="1" applyAlignment="1" applyProtection="1">
      <alignment vertical="top"/>
      <protection hidden="1"/>
    </xf>
    <xf numFmtId="0" fontId="1" fillId="2" borderId="3" xfId="0" applyNumberFormat="1" applyFont="1" applyFill="1" applyBorder="1" applyAlignment="1" applyProtection="1">
      <alignment vertical="top"/>
      <protection hidden="1"/>
    </xf>
    <xf numFmtId="0" fontId="1" fillId="5" borderId="3" xfId="0" applyNumberFormat="1" applyFont="1" applyFill="1" applyBorder="1" applyAlignment="1" applyProtection="1">
      <alignment vertical="top"/>
      <protection hidden="1"/>
    </xf>
    <xf numFmtId="0" fontId="1" fillId="0" borderId="0" xfId="0" applyNumberFormat="1" applyFont="1" applyAlignment="1" applyProtection="1">
      <alignment vertical="top"/>
      <protection hidden="1"/>
    </xf>
    <xf numFmtId="0" fontId="14" fillId="0" borderId="0" xfId="0" applyNumberFormat="1" applyFont="1" applyAlignment="1" applyProtection="1">
      <alignment vertical="top"/>
      <protection hidden="1"/>
    </xf>
    <xf numFmtId="0" fontId="1" fillId="0" borderId="0" xfId="0" applyFont="1" applyFill="1" applyBorder="1" applyAlignment="1" applyProtection="1">
      <alignment vertical="top"/>
      <protection hidden="1"/>
    </xf>
    <xf numFmtId="0" fontId="2" fillId="0" borderId="81" xfId="0" applyFont="1" applyFill="1" applyBorder="1" applyAlignment="1" applyProtection="1">
      <alignment vertical="top"/>
      <protection hidden="1"/>
    </xf>
    <xf numFmtId="0" fontId="2" fillId="0" borderId="1" xfId="0" applyFont="1" applyFill="1" applyBorder="1" applyAlignment="1" applyProtection="1">
      <alignment vertical="top"/>
      <protection hidden="1"/>
    </xf>
    <xf numFmtId="0" fontId="1" fillId="0" borderId="1" xfId="0" applyFont="1" applyFill="1" applyBorder="1" applyAlignment="1" applyProtection="1">
      <alignment vertical="top"/>
      <protection hidden="1"/>
    </xf>
    <xf numFmtId="0" fontId="2" fillId="0" borderId="10" xfId="0" applyFont="1" applyFill="1" applyBorder="1" applyAlignment="1" applyProtection="1">
      <alignment vertical="top"/>
      <protection hidden="1"/>
    </xf>
    <xf numFmtId="0" fontId="2" fillId="0" borderId="20" xfId="0" applyFont="1" applyFill="1" applyBorder="1" applyAlignment="1" applyProtection="1">
      <alignment vertical="top"/>
      <protection hidden="1"/>
    </xf>
    <xf numFmtId="0" fontId="2" fillId="0" borderId="37" xfId="0" applyFont="1" applyFill="1" applyBorder="1" applyAlignment="1" applyProtection="1">
      <alignment vertical="top"/>
      <protection hidden="1"/>
    </xf>
    <xf numFmtId="0" fontId="2" fillId="0" borderId="82" xfId="0" applyFont="1" applyFill="1" applyBorder="1" applyAlignment="1" applyProtection="1">
      <alignment vertical="top"/>
      <protection hidden="1"/>
    </xf>
    <xf numFmtId="4" fontId="1" fillId="0" borderId="35" xfId="0" applyNumberFormat="1" applyFont="1" applyFill="1" applyBorder="1" applyAlignment="1" applyProtection="1">
      <alignment vertical="top"/>
      <protection hidden="1"/>
    </xf>
    <xf numFmtId="0" fontId="1" fillId="0" borderId="84" xfId="0" applyFont="1" applyFill="1" applyBorder="1" applyAlignment="1" applyProtection="1">
      <alignment horizontal="center" vertical="top"/>
      <protection hidden="1"/>
    </xf>
    <xf numFmtId="0" fontId="1" fillId="0" borderId="62" xfId="0" applyFont="1" applyFill="1" applyBorder="1" applyAlignment="1" applyProtection="1">
      <alignment horizontal="center" vertical="top"/>
      <protection hidden="1"/>
    </xf>
    <xf numFmtId="4" fontId="0" fillId="0" borderId="70" xfId="0" applyNumberFormat="1" applyFill="1" applyBorder="1" applyAlignment="1" applyProtection="1">
      <alignment vertical="top"/>
      <protection hidden="1"/>
    </xf>
    <xf numFmtId="4" fontId="0" fillId="0" borderId="71" xfId="0" applyNumberFormat="1" applyFill="1" applyBorder="1" applyAlignment="1" applyProtection="1">
      <alignment vertical="top"/>
      <protection hidden="1"/>
    </xf>
    <xf numFmtId="4" fontId="0" fillId="0" borderId="50" xfId="0" applyNumberFormat="1" applyFill="1" applyBorder="1" applyAlignment="1" applyProtection="1">
      <alignment vertical="top"/>
      <protection hidden="1"/>
    </xf>
    <xf numFmtId="4" fontId="1" fillId="0" borderId="51" xfId="0" applyNumberFormat="1" applyFont="1" applyFill="1" applyBorder="1" applyAlignment="1" applyProtection="1">
      <alignment vertical="top"/>
      <protection hidden="1"/>
    </xf>
    <xf numFmtId="0" fontId="1" fillId="0" borderId="86" xfId="0" applyFont="1" applyFill="1" applyBorder="1" applyAlignment="1" applyProtection="1">
      <alignment horizontal="center" vertical="top"/>
      <protection hidden="1"/>
    </xf>
    <xf numFmtId="0" fontId="1" fillId="0" borderId="51" xfId="0" applyFont="1" applyFill="1" applyBorder="1" applyAlignment="1" applyProtection="1">
      <alignment horizontal="center" vertical="top"/>
      <protection hidden="1"/>
    </xf>
    <xf numFmtId="4" fontId="1" fillId="0" borderId="43" xfId="0" applyNumberFormat="1" applyFont="1" applyFill="1" applyBorder="1" applyAlignment="1" applyProtection="1">
      <alignment vertical="top"/>
      <protection hidden="1"/>
    </xf>
    <xf numFmtId="0" fontId="1" fillId="0" borderId="88" xfId="0" applyFont="1" applyFill="1" applyBorder="1" applyAlignment="1" applyProtection="1">
      <alignment horizontal="center" vertical="top"/>
      <protection hidden="1"/>
    </xf>
    <xf numFmtId="0" fontId="1" fillId="0" borderId="56" xfId="0" applyFont="1" applyFill="1" applyBorder="1" applyAlignment="1" applyProtection="1">
      <alignment horizontal="center" vertical="top"/>
      <protection hidden="1"/>
    </xf>
    <xf numFmtId="4" fontId="1" fillId="0" borderId="45" xfId="0" applyNumberFormat="1" applyFont="1" applyFill="1" applyBorder="1" applyAlignment="1" applyProtection="1">
      <alignment vertical="top"/>
      <protection hidden="1"/>
    </xf>
    <xf numFmtId="0" fontId="1" fillId="0" borderId="77" xfId="0" applyNumberFormat="1" applyFont="1" applyFill="1" applyBorder="1" applyAlignment="1" applyProtection="1">
      <alignment vertical="top"/>
      <protection hidden="1"/>
    </xf>
    <xf numFmtId="0" fontId="2" fillId="0" borderId="20" xfId="0" applyNumberFormat="1" applyFont="1" applyFill="1" applyBorder="1" applyAlignment="1" applyProtection="1">
      <alignment vertical="top"/>
      <protection hidden="1"/>
    </xf>
    <xf numFmtId="4" fontId="1" fillId="0" borderId="0" xfId="0" applyNumberFormat="1" applyFont="1" applyFill="1" applyBorder="1" applyAlignment="1" applyProtection="1">
      <alignment vertical="top"/>
      <protection hidden="1"/>
    </xf>
    <xf numFmtId="4" fontId="1" fillId="0" borderId="90" xfId="0" applyNumberFormat="1" applyFont="1" applyFill="1" applyBorder="1" applyAlignment="1" applyProtection="1">
      <alignment vertical="top"/>
      <protection hidden="1"/>
    </xf>
    <xf numFmtId="4" fontId="1" fillId="0" borderId="14" xfId="0" applyNumberFormat="1" applyFont="1" applyFill="1" applyBorder="1" applyAlignment="1" applyProtection="1">
      <alignment vertical="top"/>
      <protection hidden="1"/>
    </xf>
    <xf numFmtId="0" fontId="1" fillId="0" borderId="90" xfId="0" applyFont="1" applyFill="1" applyBorder="1" applyAlignment="1" applyProtection="1">
      <alignment horizontal="center" vertical="top"/>
      <protection hidden="1"/>
    </xf>
    <xf numFmtId="0" fontId="1" fillId="0" borderId="71" xfId="0" applyFont="1" applyFill="1" applyBorder="1" applyAlignment="1" applyProtection="1">
      <alignment horizontal="center" vertical="top"/>
      <protection hidden="1"/>
    </xf>
    <xf numFmtId="0" fontId="5" fillId="0" borderId="40" xfId="0" applyFont="1" applyFill="1" applyBorder="1" applyAlignment="1" applyProtection="1">
      <alignment vertical="top"/>
      <protection hidden="1"/>
    </xf>
    <xf numFmtId="0" fontId="2" fillId="0" borderId="91" xfId="0" applyFont="1" applyFill="1" applyBorder="1" applyAlignment="1" applyProtection="1">
      <alignment vertical="top"/>
      <protection hidden="1"/>
    </xf>
    <xf numFmtId="0" fontId="2" fillId="0" borderId="6" xfId="0" applyFont="1" applyFill="1" applyBorder="1" applyAlignment="1" applyProtection="1">
      <alignment vertical="top"/>
      <protection hidden="1"/>
    </xf>
    <xf numFmtId="0" fontId="2" fillId="0" borderId="76" xfId="0" applyFont="1" applyFill="1" applyBorder="1" applyAlignment="1" applyProtection="1">
      <alignment vertical="top"/>
      <protection hidden="1"/>
    </xf>
    <xf numFmtId="0" fontId="2" fillId="0" borderId="77" xfId="0" applyFont="1" applyFill="1" applyBorder="1" applyAlignment="1" applyProtection="1">
      <alignment vertical="top"/>
      <protection hidden="1"/>
    </xf>
    <xf numFmtId="0" fontId="2" fillId="0" borderId="78" xfId="0" applyFont="1" applyFill="1" applyBorder="1" applyAlignment="1" applyProtection="1">
      <alignment vertical="top"/>
      <protection hidden="1"/>
    </xf>
    <xf numFmtId="0" fontId="2" fillId="0" borderId="62" xfId="0" applyFont="1" applyFill="1" applyBorder="1" applyAlignment="1" applyProtection="1">
      <alignment vertical="top"/>
      <protection hidden="1"/>
    </xf>
    <xf numFmtId="0" fontId="2" fillId="0" borderId="56" xfId="0" applyFont="1" applyFill="1" applyBorder="1" applyAlignment="1" applyProtection="1">
      <alignment vertical="top"/>
      <protection hidden="1"/>
    </xf>
    <xf numFmtId="0" fontId="2" fillId="0" borderId="80" xfId="0" applyFont="1" applyFill="1" applyBorder="1" applyAlignment="1" applyProtection="1">
      <alignment vertical="top"/>
      <protection hidden="1"/>
    </xf>
    <xf numFmtId="0" fontId="0" fillId="0" borderId="28" xfId="0" applyFill="1" applyBorder="1" applyAlignment="1" applyProtection="1">
      <alignment vertical="top"/>
      <protection hidden="1"/>
    </xf>
    <xf numFmtId="0" fontId="0" fillId="0" borderId="29" xfId="0" applyFill="1" applyBorder="1" applyAlignment="1" applyProtection="1">
      <alignment vertical="top"/>
      <protection hidden="1"/>
    </xf>
    <xf numFmtId="0" fontId="0" fillId="0" borderId="78" xfId="0" applyFill="1" applyBorder="1" applyAlignment="1" applyProtection="1">
      <alignment vertical="top"/>
      <protection hidden="1"/>
    </xf>
    <xf numFmtId="0" fontId="0" fillId="0" borderId="40" xfId="0" applyFill="1" applyBorder="1" applyAlignment="1" applyProtection="1">
      <alignment vertical="top"/>
      <protection hidden="1"/>
    </xf>
    <xf numFmtId="0" fontId="0" fillId="0" borderId="91" xfId="0" applyFill="1" applyBorder="1" applyAlignment="1" applyProtection="1">
      <alignment vertical="top"/>
      <protection hidden="1"/>
    </xf>
    <xf numFmtId="0" fontId="1" fillId="0" borderId="36" xfId="0" applyFont="1" applyFill="1" applyBorder="1" applyAlignment="1" applyProtection="1">
      <alignment vertical="top"/>
      <protection hidden="1"/>
    </xf>
    <xf numFmtId="0" fontId="0" fillId="0" borderId="38" xfId="0" applyFill="1" applyBorder="1" applyAlignment="1" applyProtection="1">
      <alignment vertical="top"/>
      <protection hidden="1"/>
    </xf>
    <xf numFmtId="0" fontId="1" fillId="0" borderId="92" xfId="0" applyFont="1" applyFill="1" applyBorder="1" applyAlignment="1" applyProtection="1">
      <alignment vertical="top"/>
      <protection hidden="1"/>
    </xf>
    <xf numFmtId="0" fontId="0" fillId="0" borderId="25" xfId="0" applyFill="1" applyBorder="1" applyAlignment="1" applyProtection="1">
      <alignment vertical="top"/>
      <protection hidden="1"/>
    </xf>
    <xf numFmtId="0" fontId="0" fillId="0" borderId="92" xfId="0" applyFill="1" applyBorder="1" applyAlignment="1" applyProtection="1">
      <alignment vertical="top"/>
      <protection hidden="1"/>
    </xf>
    <xf numFmtId="0" fontId="0" fillId="0" borderId="13" xfId="0" applyFill="1" applyBorder="1" applyAlignment="1" applyProtection="1">
      <alignment vertical="top"/>
      <protection hidden="1"/>
    </xf>
    <xf numFmtId="0" fontId="0" fillId="0" borderId="69" xfId="0" applyFill="1" applyBorder="1" applyAlignment="1" applyProtection="1">
      <alignment vertical="top"/>
      <protection hidden="1"/>
    </xf>
    <xf numFmtId="0" fontId="0" fillId="0" borderId="11" xfId="0" applyFill="1" applyBorder="1" applyAlignment="1" applyProtection="1">
      <alignment vertical="top"/>
      <protection hidden="1"/>
    </xf>
    <xf numFmtId="0" fontId="0" fillId="0" borderId="31" xfId="0" applyFill="1" applyBorder="1" applyAlignment="1" applyProtection="1">
      <alignment vertical="top"/>
      <protection hidden="1"/>
    </xf>
    <xf numFmtId="4" fontId="0" fillId="0" borderId="46" xfId="0" applyNumberFormat="1" applyFill="1" applyBorder="1" applyAlignment="1" applyProtection="1">
      <alignment vertical="top"/>
      <protection hidden="1"/>
    </xf>
    <xf numFmtId="4" fontId="0" fillId="0" borderId="47" xfId="0" applyNumberFormat="1" applyFill="1" applyBorder="1" applyAlignment="1" applyProtection="1">
      <alignment vertical="top"/>
      <protection hidden="1"/>
    </xf>
    <xf numFmtId="4" fontId="0" fillId="0" borderId="69" xfId="0" applyNumberFormat="1" applyFill="1" applyBorder="1" applyAlignment="1" applyProtection="1">
      <alignment vertical="top"/>
      <protection hidden="1"/>
    </xf>
    <xf numFmtId="4" fontId="0" fillId="0" borderId="11" xfId="0" applyNumberFormat="1" applyFill="1" applyBorder="1" applyAlignment="1" applyProtection="1">
      <alignment vertical="top"/>
      <protection hidden="1"/>
    </xf>
    <xf numFmtId="0" fontId="0" fillId="0" borderId="49" xfId="0" applyFill="1" applyBorder="1" applyAlignment="1" applyProtection="1">
      <alignment vertical="top"/>
      <protection hidden="1"/>
    </xf>
    <xf numFmtId="0" fontId="0" fillId="0" borderId="58" xfId="0" applyFill="1" applyBorder="1" applyAlignment="1" applyProtection="1">
      <alignment vertical="top"/>
      <protection hidden="1"/>
    </xf>
    <xf numFmtId="4" fontId="0" fillId="0" borderId="44" xfId="0" applyNumberFormat="1" applyFill="1" applyBorder="1" applyAlignment="1" applyProtection="1">
      <alignment vertical="top"/>
      <protection hidden="1"/>
    </xf>
    <xf numFmtId="4" fontId="0" fillId="0" borderId="82" xfId="0" applyNumberFormat="1" applyFill="1" applyBorder="1" applyAlignment="1" applyProtection="1">
      <alignment vertical="top"/>
      <protection hidden="1"/>
    </xf>
    <xf numFmtId="4" fontId="0" fillId="0" borderId="93" xfId="0" applyNumberFormat="1" applyFill="1" applyBorder="1" applyAlignment="1" applyProtection="1">
      <alignment vertical="top"/>
      <protection hidden="1"/>
    </xf>
    <xf numFmtId="0" fontId="0" fillId="0" borderId="39" xfId="0" applyFill="1" applyBorder="1" applyAlignment="1" applyProtection="1">
      <alignment vertical="top"/>
      <protection hidden="1"/>
    </xf>
    <xf numFmtId="4" fontId="0" fillId="0" borderId="48" xfId="0" applyNumberFormat="1" applyFill="1" applyBorder="1" applyAlignment="1" applyProtection="1">
      <alignment vertical="top"/>
      <protection hidden="1"/>
    </xf>
    <xf numFmtId="4" fontId="0" fillId="0" borderId="53" xfId="0" applyNumberFormat="1" applyFill="1" applyBorder="1" applyAlignment="1" applyProtection="1">
      <alignment vertical="top"/>
      <protection hidden="1"/>
    </xf>
    <xf numFmtId="0" fontId="0" fillId="0" borderId="33" xfId="0" applyFill="1" applyBorder="1" applyAlignment="1" applyProtection="1">
      <alignment vertical="top"/>
      <protection hidden="1"/>
    </xf>
    <xf numFmtId="4" fontId="0" fillId="0" borderId="73" xfId="0" applyNumberFormat="1" applyFill="1" applyBorder="1" applyAlignment="1" applyProtection="1">
      <alignment vertical="top"/>
      <protection hidden="1"/>
    </xf>
    <xf numFmtId="0" fontId="12" fillId="3" borderId="2" xfId="0" applyNumberFormat="1" applyFont="1" applyFill="1" applyBorder="1" applyAlignment="1" applyProtection="1">
      <alignment vertical="top"/>
      <protection hidden="1"/>
    </xf>
    <xf numFmtId="0" fontId="1" fillId="2" borderId="1" xfId="0" applyNumberFormat="1" applyFont="1" applyFill="1" applyBorder="1" applyAlignment="1" applyProtection="1">
      <alignment vertical="top"/>
      <protection hidden="1"/>
    </xf>
    <xf numFmtId="49" fontId="4" fillId="3" borderId="94" xfId="0" applyNumberFormat="1" applyFont="1" applyFill="1" applyBorder="1" applyAlignment="1" applyProtection="1">
      <alignment vertical="top"/>
      <protection locked="0"/>
    </xf>
    <xf numFmtId="49" fontId="4" fillId="3" borderId="75" xfId="0" applyNumberFormat="1" applyFont="1" applyFill="1" applyBorder="1" applyAlignment="1" applyProtection="1">
      <alignment vertical="top"/>
      <protection locked="0"/>
    </xf>
    <xf numFmtId="0" fontId="2" fillId="2" borderId="6" xfId="0" applyNumberFormat="1" applyFont="1" applyFill="1" applyBorder="1" applyAlignment="1" applyProtection="1">
      <alignment vertical="top"/>
      <protection hidden="1"/>
    </xf>
    <xf numFmtId="0" fontId="2" fillId="2" borderId="8" xfId="0" applyNumberFormat="1" applyFont="1" applyFill="1" applyBorder="1" applyAlignment="1" applyProtection="1">
      <alignment vertical="top"/>
      <protection hidden="1"/>
    </xf>
    <xf numFmtId="0" fontId="4" fillId="2" borderId="14" xfId="0" applyNumberFormat="1" applyFont="1" applyFill="1" applyBorder="1" applyAlignment="1" applyProtection="1">
      <alignment vertical="top"/>
      <protection hidden="1"/>
    </xf>
    <xf numFmtId="0" fontId="1" fillId="4" borderId="95" xfId="0" applyFont="1" applyFill="1" applyBorder="1" applyAlignment="1" applyProtection="1">
      <alignment vertical="top"/>
      <protection hidden="1"/>
    </xf>
    <xf numFmtId="0" fontId="1" fillId="4" borderId="1" xfId="0" applyNumberFormat="1" applyFont="1" applyFill="1" applyBorder="1" applyAlignment="1" applyProtection="1">
      <alignment vertical="top"/>
      <protection hidden="1"/>
    </xf>
    <xf numFmtId="0" fontId="2" fillId="4" borderId="0" xfId="0" applyNumberFormat="1" applyFont="1" applyFill="1" applyBorder="1" applyAlignment="1" applyProtection="1">
      <alignment vertical="top"/>
      <protection hidden="1"/>
    </xf>
    <xf numFmtId="49" fontId="4" fillId="3" borderId="13" xfId="0" applyNumberFormat="1" applyFont="1" applyFill="1" applyBorder="1" applyAlignment="1" applyProtection="1">
      <alignment vertical="top"/>
      <protection locked="0"/>
    </xf>
    <xf numFmtId="0" fontId="0" fillId="4" borderId="11" xfId="0" applyNumberFormat="1" applyFill="1" applyBorder="1" applyAlignment="1" applyProtection="1">
      <alignment vertical="top"/>
      <protection hidden="1"/>
    </xf>
    <xf numFmtId="0" fontId="0" fillId="0" borderId="75" xfId="0" applyFill="1" applyBorder="1" applyAlignment="1" applyProtection="1">
      <alignment vertical="top"/>
      <protection hidden="1"/>
    </xf>
    <xf numFmtId="4" fontId="4" fillId="3" borderId="25" xfId="0" applyNumberFormat="1" applyFont="1" applyFill="1" applyBorder="1" applyAlignment="1" applyProtection="1">
      <alignment vertical="top"/>
      <protection locked="0"/>
    </xf>
    <xf numFmtId="49" fontId="4" fillId="3" borderId="17" xfId="0" applyNumberFormat="1" applyFont="1" applyFill="1" applyBorder="1" applyAlignment="1" applyProtection="1">
      <alignment vertical="top"/>
      <protection locked="0"/>
    </xf>
    <xf numFmtId="0" fontId="2" fillId="4" borderId="11" xfId="0" applyNumberFormat="1" applyFont="1" applyFill="1" applyBorder="1" applyAlignment="1" applyProtection="1">
      <alignment vertical="top"/>
      <protection hidden="1"/>
    </xf>
    <xf numFmtId="0" fontId="6" fillId="4" borderId="0" xfId="0" applyFont="1" applyFill="1" applyBorder="1" applyAlignment="1" applyProtection="1">
      <alignment vertical="top"/>
      <protection hidden="1"/>
    </xf>
    <xf numFmtId="49" fontId="4" fillId="3" borderId="21" xfId="0" applyNumberFormat="1" applyFont="1" applyFill="1" applyBorder="1" applyAlignment="1" applyProtection="1">
      <alignment vertical="top"/>
      <protection locked="0"/>
    </xf>
    <xf numFmtId="0" fontId="6" fillId="4" borderId="11" xfId="0" applyNumberFormat="1" applyFont="1" applyFill="1" applyBorder="1" applyAlignment="1" applyProtection="1">
      <alignment vertical="top"/>
      <protection hidden="1"/>
    </xf>
    <xf numFmtId="0" fontId="0" fillId="4" borderId="0" xfId="0" applyFill="1" applyAlignment="1" applyProtection="1">
      <alignment vertical="top"/>
      <protection hidden="1"/>
    </xf>
    <xf numFmtId="4" fontId="4" fillId="3" borderId="17" xfId="0" applyNumberFormat="1" applyFont="1" applyFill="1" applyBorder="1" applyAlignment="1" applyProtection="1">
      <alignment vertical="top"/>
      <protection locked="0"/>
    </xf>
    <xf numFmtId="49" fontId="4" fillId="3" borderId="78" xfId="0" applyNumberFormat="1" applyFont="1" applyFill="1" applyBorder="1" applyAlignment="1" applyProtection="1">
      <alignment vertical="top"/>
      <protection locked="0"/>
    </xf>
    <xf numFmtId="14" fontId="4" fillId="3" borderId="23" xfId="0" applyNumberFormat="1" applyFont="1" applyFill="1" applyBorder="1" applyAlignment="1" applyProtection="1">
      <alignment vertical="top"/>
      <protection locked="0"/>
    </xf>
    <xf numFmtId="49" fontId="4" fillId="3" borderId="76" xfId="0" applyNumberFormat="1" applyFont="1" applyFill="1" applyBorder="1" applyAlignment="1" applyProtection="1">
      <alignment vertical="top"/>
      <protection locked="0"/>
    </xf>
    <xf numFmtId="14" fontId="4" fillId="3" borderId="69" xfId="0" applyNumberFormat="1" applyFont="1" applyFill="1" applyBorder="1" applyAlignment="1" applyProtection="1">
      <alignment vertical="top"/>
      <protection locked="0"/>
    </xf>
    <xf numFmtId="0" fontId="0" fillId="0" borderId="15" xfId="0" applyFill="1" applyBorder="1" applyAlignment="1" applyProtection="1">
      <alignment vertical="top"/>
      <protection hidden="1"/>
    </xf>
    <xf numFmtId="49" fontId="4" fillId="3" borderId="37" xfId="0" applyNumberFormat="1" applyFont="1" applyFill="1" applyBorder="1" applyAlignment="1" applyProtection="1">
      <alignment vertical="top"/>
      <protection locked="0"/>
    </xf>
    <xf numFmtId="14" fontId="4" fillId="3" borderId="82" xfId="0" applyNumberFormat="1" applyFont="1" applyFill="1" applyBorder="1" applyAlignment="1" applyProtection="1">
      <alignment vertical="top"/>
      <protection locked="0"/>
    </xf>
    <xf numFmtId="4" fontId="4" fillId="3" borderId="38" xfId="0" applyNumberFormat="1" applyFont="1" applyFill="1" applyBorder="1" applyAlignment="1" applyProtection="1">
      <alignment vertical="top"/>
      <protection locked="0"/>
    </xf>
    <xf numFmtId="0" fontId="0" fillId="0" borderId="10" xfId="0" applyFill="1" applyBorder="1" applyAlignment="1" applyProtection="1">
      <alignment vertical="top"/>
      <protection hidden="1"/>
    </xf>
    <xf numFmtId="49" fontId="4" fillId="3" borderId="19" xfId="0" applyNumberFormat="1" applyFont="1" applyFill="1" applyBorder="1" applyAlignment="1" applyProtection="1">
      <alignment vertical="top"/>
      <protection locked="0"/>
    </xf>
    <xf numFmtId="4" fontId="4" fillId="3" borderId="82" xfId="0" applyNumberFormat="1" applyFont="1" applyFill="1" applyBorder="1" applyAlignment="1" applyProtection="1">
      <alignment vertical="top"/>
      <protection locked="0"/>
    </xf>
    <xf numFmtId="4" fontId="4" fillId="3" borderId="37" xfId="0" applyNumberFormat="1" applyFont="1" applyFill="1" applyBorder="1" applyAlignment="1" applyProtection="1">
      <alignment vertical="top"/>
      <protection locked="0"/>
    </xf>
    <xf numFmtId="0" fontId="0" fillId="4" borderId="24" xfId="0" applyFill="1" applyBorder="1" applyAlignment="1" applyProtection="1">
      <alignment vertical="top"/>
      <protection hidden="1"/>
    </xf>
    <xf numFmtId="4" fontId="4" fillId="3" borderId="19" xfId="0" applyNumberFormat="1" applyFont="1" applyFill="1" applyBorder="1" applyAlignment="1" applyProtection="1">
      <alignment vertical="top"/>
      <protection locked="0"/>
    </xf>
    <xf numFmtId="4" fontId="4" fillId="3" borderId="21" xfId="0" applyNumberFormat="1" applyFont="1" applyFill="1" applyBorder="1" applyAlignment="1" applyProtection="1">
      <alignment vertical="top"/>
      <protection locked="0"/>
    </xf>
    <xf numFmtId="0" fontId="1" fillId="4" borderId="5" xfId="0" applyFont="1" applyFill="1" applyBorder="1" applyAlignment="1" applyProtection="1">
      <alignment vertical="top"/>
      <protection hidden="1"/>
    </xf>
    <xf numFmtId="4" fontId="4" fillId="3" borderId="92" xfId="0" applyNumberFormat="1" applyFont="1" applyFill="1" applyBorder="1" applyAlignment="1" applyProtection="1">
      <alignment vertical="top"/>
      <protection locked="0"/>
    </xf>
    <xf numFmtId="0" fontId="0" fillId="4" borderId="7" xfId="0" applyNumberFormat="1" applyFill="1" applyBorder="1" applyAlignment="1" applyProtection="1">
      <alignment vertical="top"/>
      <protection hidden="1"/>
    </xf>
    <xf numFmtId="0" fontId="2" fillId="0" borderId="74" xfId="0" applyNumberFormat="1" applyFont="1" applyFill="1" applyBorder="1" applyAlignment="1" applyProtection="1">
      <alignment vertical="top"/>
      <protection hidden="1"/>
    </xf>
    <xf numFmtId="0" fontId="1" fillId="4" borderId="0" xfId="0" applyNumberFormat="1" applyFont="1" applyFill="1" applyBorder="1" applyAlignment="1" applyProtection="1">
      <alignment vertical="top"/>
      <protection hidden="1"/>
    </xf>
    <xf numFmtId="0" fontId="2" fillId="4" borderId="14" xfId="0" applyNumberFormat="1" applyFont="1" applyFill="1" applyBorder="1" applyAlignment="1" applyProtection="1">
      <alignment vertical="top"/>
      <protection hidden="1"/>
    </xf>
    <xf numFmtId="0" fontId="0" fillId="4" borderId="14" xfId="0" applyFill="1" applyBorder="1" applyAlignment="1" applyProtection="1">
      <alignment vertical="top"/>
      <protection hidden="1"/>
    </xf>
    <xf numFmtId="49" fontId="4" fillId="3" borderId="97" xfId="0" applyNumberFormat="1" applyFont="1" applyFill="1" applyBorder="1" applyAlignment="1" applyProtection="1">
      <alignment vertical="top"/>
      <protection locked="0"/>
    </xf>
    <xf numFmtId="0" fontId="0" fillId="4" borderId="15" xfId="0" applyNumberFormat="1" applyFill="1" applyBorder="1" applyAlignment="1" applyProtection="1">
      <alignment vertical="top"/>
      <protection hidden="1"/>
    </xf>
    <xf numFmtId="0" fontId="0" fillId="2" borderId="14" xfId="0" applyFill="1" applyBorder="1" applyAlignment="1" applyProtection="1">
      <alignment vertical="top"/>
      <protection hidden="1"/>
    </xf>
    <xf numFmtId="49" fontId="2" fillId="0" borderId="0" xfId="0" applyNumberFormat="1" applyFont="1" applyAlignment="1" applyProtection="1">
      <alignment vertical="top"/>
      <protection hidden="1"/>
    </xf>
    <xf numFmtId="169" fontId="0" fillId="0" borderId="0" xfId="0" applyNumberFormat="1" applyAlignment="1" applyProtection="1">
      <alignment vertical="top"/>
      <protection hidden="1"/>
    </xf>
    <xf numFmtId="49" fontId="1" fillId="5" borderId="1" xfId="0" applyNumberFormat="1" applyFont="1" applyFill="1" applyBorder="1" applyAlignment="1" applyProtection="1">
      <alignment vertical="top"/>
      <protection hidden="1"/>
    </xf>
    <xf numFmtId="4" fontId="0" fillId="5" borderId="1" xfId="0" applyNumberFormat="1" applyFill="1" applyBorder="1" applyAlignment="1" applyProtection="1">
      <alignment vertical="top"/>
      <protection hidden="1"/>
    </xf>
    <xf numFmtId="169" fontId="0" fillId="5" borderId="1" xfId="0" applyNumberFormat="1" applyFill="1" applyBorder="1" applyAlignment="1" applyProtection="1">
      <alignment vertical="top"/>
      <protection hidden="1"/>
    </xf>
    <xf numFmtId="49" fontId="2" fillId="5" borderId="0" xfId="0" applyNumberFormat="1" applyFont="1" applyFill="1" applyBorder="1" applyAlignment="1" applyProtection="1">
      <alignment vertical="top"/>
      <protection hidden="1"/>
    </xf>
    <xf numFmtId="169" fontId="0" fillId="5" borderId="0" xfId="0" applyNumberFormat="1" applyFill="1" applyBorder="1" applyAlignment="1" applyProtection="1">
      <alignment vertical="top"/>
      <protection hidden="1"/>
    </xf>
    <xf numFmtId="0" fontId="0" fillId="5" borderId="11" xfId="0" applyNumberFormat="1" applyFill="1" applyBorder="1" applyAlignment="1" applyProtection="1">
      <alignment vertical="top"/>
      <protection hidden="1"/>
    </xf>
    <xf numFmtId="0" fontId="2" fillId="5" borderId="0" xfId="0" applyNumberFormat="1" applyFont="1" applyFill="1" applyBorder="1" applyAlignment="1" applyProtection="1">
      <alignment vertical="top"/>
      <protection hidden="1"/>
    </xf>
    <xf numFmtId="0" fontId="2" fillId="5" borderId="8" xfId="0" applyNumberFormat="1" applyFont="1" applyFill="1" applyBorder="1" applyAlignment="1" applyProtection="1">
      <alignment vertical="top"/>
      <protection hidden="1"/>
    </xf>
    <xf numFmtId="0" fontId="0" fillId="5" borderId="15" xfId="0" applyNumberFormat="1" applyFill="1" applyBorder="1" applyAlignment="1" applyProtection="1">
      <alignment vertical="top"/>
      <protection hidden="1"/>
    </xf>
    <xf numFmtId="0" fontId="6" fillId="0" borderId="0" xfId="0" applyNumberFormat="1" applyFont="1" applyAlignment="1" applyProtection="1">
      <alignment vertical="top"/>
      <protection hidden="1"/>
    </xf>
    <xf numFmtId="49" fontId="6" fillId="0" borderId="0" xfId="0" applyNumberFormat="1" applyFont="1" applyAlignment="1" applyProtection="1">
      <alignment vertical="top"/>
      <protection hidden="1"/>
    </xf>
    <xf numFmtId="49" fontId="0" fillId="0" borderId="0" xfId="0" applyNumberFormat="1" applyAlignment="1" applyProtection="1">
      <alignment vertical="top"/>
      <protection hidden="1"/>
    </xf>
    <xf numFmtId="0" fontId="2" fillId="0" borderId="0" xfId="0" applyNumberFormat="1" applyFont="1" applyFill="1" applyAlignment="1" applyProtection="1">
      <alignment vertical="top"/>
      <protection hidden="1"/>
    </xf>
    <xf numFmtId="0" fontId="1" fillId="0" borderId="98" xfId="0" applyNumberFormat="1" applyFont="1" applyFill="1" applyBorder="1" applyAlignment="1" applyProtection="1">
      <alignment vertical="top"/>
      <protection hidden="1"/>
    </xf>
    <xf numFmtId="0" fontId="1" fillId="0" borderId="99" xfId="0" applyFont="1" applyFill="1" applyBorder="1" applyAlignment="1" applyProtection="1">
      <alignment vertical="top"/>
      <protection hidden="1"/>
    </xf>
    <xf numFmtId="0" fontId="1" fillId="0" borderId="100" xfId="0" applyFont="1" applyFill="1" applyBorder="1" applyAlignment="1" applyProtection="1">
      <alignment vertical="top"/>
      <protection hidden="1"/>
    </xf>
    <xf numFmtId="49" fontId="1" fillId="0" borderId="29" xfId="0" applyNumberFormat="1" applyFont="1" applyFill="1" applyBorder="1" applyAlignment="1" applyProtection="1">
      <alignment vertical="top"/>
      <protection hidden="1"/>
    </xf>
    <xf numFmtId="0" fontId="2" fillId="0" borderId="6" xfId="0" applyNumberFormat="1" applyFont="1" applyFill="1" applyBorder="1" applyAlignment="1" applyProtection="1">
      <alignment vertical="top"/>
      <protection hidden="1"/>
    </xf>
    <xf numFmtId="0" fontId="1" fillId="0" borderId="76" xfId="0" applyFont="1" applyFill="1" applyBorder="1" applyAlignment="1" applyProtection="1">
      <alignment vertical="top"/>
      <protection hidden="1"/>
    </xf>
    <xf numFmtId="0" fontId="1" fillId="0" borderId="11" xfId="0" applyFont="1" applyFill="1" applyBorder="1" applyAlignment="1" applyProtection="1">
      <alignment vertical="top"/>
      <protection hidden="1"/>
    </xf>
    <xf numFmtId="14" fontId="1" fillId="0" borderId="101" xfId="0" applyNumberFormat="1" applyFont="1" applyFill="1" applyBorder="1" applyAlignment="1" applyProtection="1">
      <alignment vertical="top"/>
      <protection hidden="1"/>
    </xf>
    <xf numFmtId="0" fontId="2" fillId="0" borderId="33" xfId="0" applyNumberFormat="1" applyFont="1" applyFill="1" applyBorder="1" applyAlignment="1" applyProtection="1">
      <alignment vertical="top"/>
      <protection hidden="1"/>
    </xf>
    <xf numFmtId="0" fontId="1" fillId="0" borderId="90" xfId="0" applyFont="1" applyFill="1" applyBorder="1" applyAlignment="1" applyProtection="1">
      <alignment vertical="top"/>
      <protection hidden="1"/>
    </xf>
    <xf numFmtId="14" fontId="1" fillId="0" borderId="34" xfId="0" applyNumberFormat="1" applyFont="1" applyFill="1" applyBorder="1" applyAlignment="1" applyProtection="1">
      <alignment vertical="top"/>
      <protection hidden="1"/>
    </xf>
    <xf numFmtId="0" fontId="1" fillId="0" borderId="95" xfId="0" applyFont="1" applyFill="1" applyBorder="1" applyAlignment="1" applyProtection="1">
      <alignment vertical="top"/>
      <protection hidden="1"/>
    </xf>
    <xf numFmtId="0" fontId="1" fillId="0" borderId="1" xfId="0" applyNumberFormat="1" applyFont="1" applyFill="1" applyBorder="1" applyAlignment="1" applyProtection="1">
      <alignment vertical="top"/>
      <protection hidden="1"/>
    </xf>
    <xf numFmtId="0" fontId="1" fillId="0" borderId="102" xfId="0" applyFont="1" applyFill="1" applyBorder="1" applyAlignment="1" applyProtection="1">
      <alignment vertical="top"/>
      <protection hidden="1"/>
    </xf>
    <xf numFmtId="0" fontId="2" fillId="0" borderId="46" xfId="0" applyNumberFormat="1" applyFont="1" applyFill="1" applyBorder="1" applyAlignment="1" applyProtection="1">
      <alignment vertical="top"/>
      <protection hidden="1"/>
    </xf>
    <xf numFmtId="0" fontId="1" fillId="0" borderId="41" xfId="0" applyNumberFormat="1" applyFont="1" applyFill="1" applyBorder="1" applyAlignment="1" applyProtection="1">
      <alignment vertical="top"/>
      <protection hidden="1"/>
    </xf>
    <xf numFmtId="0" fontId="2" fillId="0" borderId="36" xfId="0" applyNumberFormat="1" applyFont="1" applyFill="1" applyBorder="1" applyAlignment="1" applyProtection="1">
      <alignment vertical="top"/>
      <protection hidden="1"/>
    </xf>
    <xf numFmtId="49" fontId="1" fillId="0" borderId="41" xfId="0" applyNumberFormat="1" applyFont="1" applyFill="1" applyBorder="1" applyAlignment="1" applyProtection="1">
      <alignment vertical="top"/>
      <protection hidden="1"/>
    </xf>
    <xf numFmtId="0" fontId="2" fillId="0" borderId="38" xfId="0" applyNumberFormat="1" applyFont="1" applyFill="1" applyBorder="1" applyAlignment="1" applyProtection="1">
      <alignment vertical="top"/>
      <protection hidden="1"/>
    </xf>
    <xf numFmtId="4" fontId="1" fillId="0" borderId="25" xfId="0" applyNumberFormat="1" applyFont="1" applyFill="1" applyBorder="1" applyAlignment="1" applyProtection="1">
      <alignment vertical="top"/>
      <protection hidden="1"/>
    </xf>
    <xf numFmtId="0" fontId="1" fillId="0" borderId="12" xfId="0" applyFont="1" applyFill="1" applyBorder="1" applyAlignment="1" applyProtection="1">
      <alignment vertical="top"/>
      <protection hidden="1"/>
    </xf>
    <xf numFmtId="0" fontId="1" fillId="0" borderId="104" xfId="0" applyFont="1" applyFill="1" applyBorder="1" applyAlignment="1" applyProtection="1">
      <alignment vertical="top"/>
      <protection hidden="1"/>
    </xf>
    <xf numFmtId="0" fontId="2" fillId="0" borderId="40" xfId="0" applyNumberFormat="1" applyFont="1" applyFill="1" applyBorder="1" applyAlignment="1" applyProtection="1">
      <alignment vertical="top"/>
      <protection hidden="1"/>
    </xf>
    <xf numFmtId="0" fontId="1" fillId="0" borderId="10" xfId="0" applyFont="1" applyFill="1" applyBorder="1" applyAlignment="1" applyProtection="1">
      <alignment vertical="top"/>
      <protection hidden="1"/>
    </xf>
    <xf numFmtId="0" fontId="2" fillId="0" borderId="0" xfId="0" applyNumberFormat="1" applyFont="1" applyFill="1" applyBorder="1" applyAlignment="1" applyProtection="1">
      <alignment vertical="top"/>
      <protection hidden="1"/>
    </xf>
    <xf numFmtId="0" fontId="1" fillId="0" borderId="47" xfId="0" applyFont="1" applyFill="1" applyBorder="1" applyAlignment="1" applyProtection="1">
      <alignment vertical="top"/>
      <protection hidden="1"/>
    </xf>
    <xf numFmtId="49" fontId="1" fillId="0" borderId="48" xfId="0" applyNumberFormat="1" applyFont="1" applyFill="1" applyBorder="1" applyAlignment="1" applyProtection="1">
      <alignment vertical="top"/>
      <protection hidden="1"/>
    </xf>
    <xf numFmtId="0" fontId="1" fillId="0" borderId="54" xfId="0" applyNumberFormat="1" applyFont="1" applyFill="1" applyBorder="1" applyAlignment="1" applyProtection="1">
      <alignment vertical="top"/>
      <protection hidden="1"/>
    </xf>
    <xf numFmtId="0" fontId="1" fillId="0" borderId="63" xfId="0" applyFont="1" applyFill="1" applyBorder="1" applyAlignment="1" applyProtection="1">
      <alignment vertical="top"/>
      <protection hidden="1"/>
    </xf>
    <xf numFmtId="14" fontId="1" fillId="0" borderId="35" xfId="0" applyNumberFormat="1" applyFont="1" applyFill="1" applyBorder="1" applyAlignment="1" applyProtection="1">
      <alignment vertical="top"/>
      <protection hidden="1"/>
    </xf>
    <xf numFmtId="49" fontId="1" fillId="0" borderId="53" xfId="0" applyNumberFormat="1" applyFont="1" applyFill="1" applyBorder="1" applyAlignment="1" applyProtection="1">
      <alignment vertical="top"/>
      <protection hidden="1"/>
    </xf>
    <xf numFmtId="0" fontId="1" fillId="0" borderId="52" xfId="0" applyFont="1" applyFill="1" applyBorder="1" applyAlignment="1" applyProtection="1">
      <alignment vertical="top"/>
      <protection hidden="1"/>
    </xf>
    <xf numFmtId="14" fontId="1" fillId="0" borderId="51" xfId="0" applyNumberFormat="1" applyFont="1" applyFill="1" applyBorder="1" applyAlignment="1" applyProtection="1">
      <alignment vertical="top"/>
      <protection hidden="1"/>
    </xf>
    <xf numFmtId="0" fontId="1" fillId="0" borderId="44" xfId="0" applyFont="1" applyFill="1" applyBorder="1" applyAlignment="1" applyProtection="1">
      <alignment vertical="top"/>
      <protection hidden="1"/>
    </xf>
    <xf numFmtId="14" fontId="1" fillId="0" borderId="43" xfId="0" applyNumberFormat="1" applyFont="1" applyFill="1" applyBorder="1" applyAlignment="1" applyProtection="1">
      <alignment vertical="top"/>
      <protection hidden="1"/>
    </xf>
    <xf numFmtId="49" fontId="1" fillId="0" borderId="45" xfId="0" applyNumberFormat="1" applyFont="1" applyFill="1" applyBorder="1" applyAlignment="1" applyProtection="1">
      <alignment vertical="top"/>
      <protection hidden="1"/>
    </xf>
    <xf numFmtId="0" fontId="2" fillId="0" borderId="31" xfId="0" applyNumberFormat="1" applyFont="1" applyFill="1" applyBorder="1" applyAlignment="1" applyProtection="1">
      <alignment vertical="top"/>
      <protection hidden="1"/>
    </xf>
    <xf numFmtId="0" fontId="2" fillId="0" borderId="49" xfId="0" applyNumberFormat="1" applyFont="1" applyFill="1" applyBorder="1" applyAlignment="1" applyProtection="1">
      <alignment vertical="top"/>
      <protection hidden="1"/>
    </xf>
    <xf numFmtId="0" fontId="2" fillId="0" borderId="58" xfId="0" applyNumberFormat="1" applyFont="1" applyFill="1" applyBorder="1" applyAlignment="1" applyProtection="1">
      <alignment vertical="top"/>
      <protection hidden="1"/>
    </xf>
    <xf numFmtId="0" fontId="2" fillId="0" borderId="43" xfId="0" applyFont="1" applyFill="1" applyBorder="1" applyAlignment="1" applyProtection="1">
      <alignment vertical="top"/>
      <protection hidden="1"/>
    </xf>
    <xf numFmtId="0" fontId="2" fillId="0" borderId="24" xfId="0" applyNumberFormat="1" applyFont="1" applyFill="1" applyBorder="1" applyAlignment="1" applyProtection="1">
      <alignment vertical="top"/>
      <protection hidden="1"/>
    </xf>
    <xf numFmtId="4" fontId="2" fillId="0" borderId="17" xfId="0" applyNumberFormat="1" applyFont="1" applyFill="1" applyBorder="1" applyAlignment="1" applyProtection="1">
      <alignment vertical="top"/>
      <protection hidden="1"/>
    </xf>
    <xf numFmtId="0" fontId="2" fillId="0" borderId="105" xfId="0" applyFont="1" applyFill="1" applyBorder="1" applyAlignment="1" applyProtection="1">
      <alignment vertical="top"/>
      <protection hidden="1"/>
    </xf>
    <xf numFmtId="0" fontId="2" fillId="0" borderId="106" xfId="0" applyFont="1" applyFill="1" applyBorder="1" applyAlignment="1" applyProtection="1">
      <alignment vertical="top"/>
      <protection hidden="1"/>
    </xf>
    <xf numFmtId="0" fontId="1" fillId="0" borderId="15" xfId="0" applyFont="1" applyFill="1" applyBorder="1" applyAlignment="1" applyProtection="1">
      <alignment vertical="top"/>
      <protection hidden="1"/>
    </xf>
    <xf numFmtId="4" fontId="1" fillId="0" borderId="13" xfId="0" applyNumberFormat="1" applyFont="1" applyFill="1" applyBorder="1" applyAlignment="1" applyProtection="1">
      <alignment vertical="top"/>
      <protection hidden="1"/>
    </xf>
    <xf numFmtId="49" fontId="1" fillId="0" borderId="31" xfId="0" applyNumberFormat="1" applyFont="1" applyFill="1" applyBorder="1" applyAlignment="1" applyProtection="1">
      <alignment vertical="top"/>
      <protection hidden="1"/>
    </xf>
    <xf numFmtId="4" fontId="1" fillId="0" borderId="56" xfId="0" applyNumberFormat="1" applyFont="1" applyFill="1" applyBorder="1" applyAlignment="1" applyProtection="1">
      <alignment vertical="top"/>
      <protection hidden="1"/>
    </xf>
    <xf numFmtId="0" fontId="2" fillId="0" borderId="74" xfId="0" applyFont="1" applyFill="1" applyBorder="1" applyAlignment="1" applyProtection="1">
      <alignment vertical="top"/>
      <protection hidden="1"/>
    </xf>
    <xf numFmtId="4" fontId="2" fillId="0" borderId="74" xfId="0" applyNumberFormat="1" applyFont="1" applyFill="1" applyBorder="1" applyAlignment="1" applyProtection="1">
      <alignment vertical="top"/>
      <protection hidden="1"/>
    </xf>
    <xf numFmtId="4" fontId="2" fillId="0" borderId="28" xfId="0" applyNumberFormat="1" applyFont="1" applyFill="1" applyBorder="1" applyAlignment="1" applyProtection="1">
      <alignment vertical="top"/>
      <protection hidden="1"/>
    </xf>
    <xf numFmtId="4" fontId="2" fillId="0" borderId="46" xfId="0" applyNumberFormat="1" applyFont="1" applyFill="1" applyBorder="1" applyAlignment="1" applyProtection="1">
      <alignment vertical="top"/>
      <protection hidden="1"/>
    </xf>
    <xf numFmtId="0" fontId="2" fillId="0" borderId="32" xfId="0" applyFont="1" applyFill="1" applyBorder="1" applyAlignment="1" applyProtection="1">
      <alignment vertical="top"/>
      <protection hidden="1"/>
    </xf>
    <xf numFmtId="0" fontId="2" fillId="0" borderId="66" xfId="0" applyNumberFormat="1" applyFont="1" applyFill="1" applyBorder="1" applyAlignment="1" applyProtection="1">
      <alignment vertical="top"/>
      <protection hidden="1"/>
    </xf>
    <xf numFmtId="4" fontId="2" fillId="0" borderId="61" xfId="0" applyNumberFormat="1" applyFont="1" applyFill="1" applyBorder="1" applyAlignment="1" applyProtection="1">
      <alignment vertical="top"/>
      <protection hidden="1"/>
    </xf>
    <xf numFmtId="4" fontId="1" fillId="0" borderId="96" xfId="0" applyNumberFormat="1" applyFont="1" applyFill="1" applyBorder="1" applyAlignment="1" applyProtection="1">
      <alignment vertical="top"/>
      <protection hidden="1"/>
    </xf>
    <xf numFmtId="4" fontId="2" fillId="0" borderId="70" xfId="0" applyNumberFormat="1" applyFont="1" applyFill="1" applyBorder="1" applyAlignment="1" applyProtection="1">
      <alignment vertical="top"/>
      <protection hidden="1"/>
    </xf>
    <xf numFmtId="49" fontId="1" fillId="0" borderId="60" xfId="0" applyNumberFormat="1" applyFont="1" applyFill="1" applyBorder="1" applyAlignment="1" applyProtection="1">
      <alignment vertical="top"/>
      <protection hidden="1"/>
    </xf>
    <xf numFmtId="49" fontId="2" fillId="0" borderId="58" xfId="0" applyNumberFormat="1" applyFont="1" applyFill="1" applyBorder="1" applyAlignment="1" applyProtection="1">
      <alignment vertical="top"/>
      <protection hidden="1"/>
    </xf>
    <xf numFmtId="49" fontId="2" fillId="0" borderId="14" xfId="0" applyNumberFormat="1" applyFont="1" applyFill="1" applyBorder="1" applyAlignment="1" applyProtection="1">
      <alignment vertical="top"/>
      <protection hidden="1"/>
    </xf>
    <xf numFmtId="0" fontId="2" fillId="0" borderId="9" xfId="0" applyFont="1" applyFill="1" applyBorder="1" applyAlignment="1" applyProtection="1">
      <alignment vertical="top"/>
      <protection hidden="1"/>
    </xf>
    <xf numFmtId="49" fontId="2" fillId="0" borderId="0" xfId="0" applyNumberFormat="1" applyFont="1" applyFill="1" applyAlignment="1" applyProtection="1">
      <alignment vertical="top"/>
      <protection hidden="1"/>
    </xf>
    <xf numFmtId="4" fontId="2" fillId="0" borderId="0" xfId="0" applyNumberFormat="1" applyFont="1" applyFill="1" applyAlignment="1" applyProtection="1">
      <alignment vertical="top"/>
      <protection hidden="1"/>
    </xf>
    <xf numFmtId="169" fontId="2" fillId="0" borderId="0" xfId="0" applyNumberFormat="1" applyFont="1" applyFill="1" applyAlignment="1" applyProtection="1">
      <alignment vertical="top"/>
      <protection hidden="1"/>
    </xf>
    <xf numFmtId="49" fontId="1" fillId="0" borderId="28" xfId="0" applyNumberFormat="1" applyFont="1" applyFill="1" applyBorder="1" applyAlignment="1" applyProtection="1">
      <alignment vertical="top"/>
      <protection hidden="1"/>
    </xf>
    <xf numFmtId="169" fontId="2" fillId="0" borderId="29" xfId="0" applyNumberFormat="1" applyFont="1" applyFill="1" applyBorder="1" applyAlignment="1" applyProtection="1">
      <alignment vertical="top"/>
      <protection hidden="1"/>
    </xf>
    <xf numFmtId="49" fontId="2" fillId="0" borderId="31" xfId="0" applyNumberFormat="1" applyFont="1" applyFill="1" applyBorder="1" applyAlignment="1" applyProtection="1">
      <alignment vertical="top"/>
      <protection hidden="1"/>
    </xf>
    <xf numFmtId="169" fontId="2" fillId="0" borderId="68" xfId="0" applyNumberFormat="1" applyFont="1" applyFill="1" applyBorder="1" applyAlignment="1" applyProtection="1">
      <alignment vertical="top"/>
      <protection hidden="1"/>
    </xf>
    <xf numFmtId="4" fontId="1" fillId="0" borderId="32" xfId="0" applyNumberFormat="1" applyFont="1" applyFill="1" applyBorder="1" applyAlignment="1" applyProtection="1">
      <alignment vertical="top"/>
      <protection hidden="1"/>
    </xf>
    <xf numFmtId="4" fontId="1" fillId="0" borderId="34" xfId="0" applyNumberFormat="1" applyFont="1" applyFill="1" applyBorder="1" applyAlignment="1" applyProtection="1">
      <alignment vertical="top"/>
      <protection hidden="1"/>
    </xf>
    <xf numFmtId="49" fontId="9" fillId="0" borderId="0" xfId="0" applyNumberFormat="1" applyFont="1" applyAlignment="1" applyProtection="1">
      <alignment vertical="top"/>
      <protection hidden="1"/>
    </xf>
    <xf numFmtId="0" fontId="0" fillId="0" borderId="0" xfId="0" applyNumberFormat="1" applyFill="1" applyAlignment="1" applyProtection="1">
      <alignment vertical="top"/>
      <protection hidden="1"/>
    </xf>
    <xf numFmtId="0" fontId="7" fillId="3" borderId="5" xfId="0" applyFont="1" applyFill="1" applyBorder="1" applyAlignment="1" applyProtection="1">
      <alignment vertical="top"/>
      <protection hidden="1"/>
    </xf>
    <xf numFmtId="0" fontId="7" fillId="3" borderId="74" xfId="0" applyFont="1" applyFill="1" applyBorder="1" applyAlignment="1" applyProtection="1">
      <alignment vertical="top"/>
      <protection hidden="1"/>
    </xf>
    <xf numFmtId="0" fontId="7" fillId="3" borderId="75" xfId="0" applyFont="1" applyFill="1" applyBorder="1" applyAlignment="1" applyProtection="1">
      <alignment vertical="top"/>
      <protection hidden="1"/>
    </xf>
    <xf numFmtId="0" fontId="1" fillId="2" borderId="10" xfId="0" applyFont="1" applyFill="1" applyBorder="1" applyAlignment="1" applyProtection="1">
      <alignment vertical="top"/>
      <protection hidden="1"/>
    </xf>
    <xf numFmtId="1" fontId="0" fillId="2" borderId="0" xfId="0" applyNumberFormat="1" applyFill="1" applyBorder="1" applyAlignment="1" applyProtection="1">
      <alignment vertical="top"/>
      <protection hidden="1"/>
    </xf>
    <xf numFmtId="167" fontId="0" fillId="2" borderId="0" xfId="0" applyNumberFormat="1" applyFill="1" applyBorder="1" applyAlignment="1" applyProtection="1">
      <alignment vertical="top"/>
      <protection hidden="1"/>
    </xf>
    <xf numFmtId="4" fontId="2" fillId="2" borderId="11" xfId="0" applyNumberFormat="1" applyFont="1" applyFill="1" applyBorder="1" applyAlignment="1" applyProtection="1">
      <alignment vertical="top"/>
      <protection hidden="1"/>
    </xf>
    <xf numFmtId="14" fontId="4" fillId="3" borderId="0" xfId="0" applyNumberFormat="1" applyFon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hidden="1"/>
    </xf>
    <xf numFmtId="14" fontId="4" fillId="3" borderId="59" xfId="0" applyNumberFormat="1" applyFont="1" applyFill="1" applyBorder="1" applyAlignment="1" applyProtection="1">
      <alignment vertical="top"/>
      <protection locked="0"/>
    </xf>
    <xf numFmtId="14" fontId="4" fillId="3" borderId="14" xfId="0" applyNumberFormat="1" applyFont="1" applyFill="1" applyBorder="1" applyAlignment="1" applyProtection="1">
      <alignment vertical="top"/>
      <protection locked="0"/>
    </xf>
    <xf numFmtId="49" fontId="4" fillId="3" borderId="80" xfId="0" applyNumberFormat="1" applyFon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hidden="1"/>
    </xf>
    <xf numFmtId="167" fontId="0" fillId="2" borderId="14" xfId="0" applyNumberFormat="1" applyFill="1" applyBorder="1" applyAlignment="1" applyProtection="1">
      <alignment vertical="top"/>
      <protection hidden="1"/>
    </xf>
    <xf numFmtId="14" fontId="0" fillId="0" borderId="0" xfId="0" applyNumberFormat="1" applyAlignment="1" applyProtection="1">
      <alignment vertical="top"/>
      <protection hidden="1"/>
    </xf>
    <xf numFmtId="10" fontId="0" fillId="0" borderId="0" xfId="0" applyNumberFormat="1" applyAlignment="1" applyProtection="1">
      <alignment vertical="top"/>
      <protection hidden="1"/>
    </xf>
    <xf numFmtId="167" fontId="0" fillId="0" borderId="0" xfId="0" applyNumberFormat="1" applyAlignment="1" applyProtection="1">
      <alignment vertical="top"/>
      <protection hidden="1"/>
    </xf>
    <xf numFmtId="14" fontId="0" fillId="5" borderId="1" xfId="0" applyNumberFormat="1" applyFill="1" applyBorder="1" applyAlignment="1" applyProtection="1">
      <alignment vertical="top"/>
      <protection hidden="1"/>
    </xf>
    <xf numFmtId="49" fontId="0" fillId="5" borderId="1" xfId="0" applyNumberFormat="1" applyFill="1" applyBorder="1" applyAlignment="1" applyProtection="1">
      <alignment vertical="top"/>
      <protection hidden="1"/>
    </xf>
    <xf numFmtId="10" fontId="0" fillId="5" borderId="1" xfId="0" applyNumberFormat="1" applyFill="1" applyBorder="1" applyAlignment="1" applyProtection="1">
      <alignment vertical="top"/>
      <protection hidden="1"/>
    </xf>
    <xf numFmtId="4" fontId="0" fillId="5" borderId="10" xfId="0" applyNumberFormat="1" applyFill="1" applyBorder="1" applyAlignment="1" applyProtection="1">
      <alignment vertical="top"/>
      <protection hidden="1"/>
    </xf>
    <xf numFmtId="14" fontId="0" fillId="5" borderId="0" xfId="0" applyNumberFormat="1" applyFill="1" applyBorder="1" applyAlignment="1" applyProtection="1">
      <alignment vertical="top"/>
      <protection hidden="1"/>
    </xf>
    <xf numFmtId="49" fontId="0" fillId="5" borderId="0" xfId="0" applyNumberFormat="1" applyFill="1" applyBorder="1" applyAlignment="1" applyProtection="1">
      <alignment vertical="top"/>
      <protection hidden="1"/>
    </xf>
    <xf numFmtId="10" fontId="0" fillId="5" borderId="0" xfId="0" applyNumberFormat="1" applyFill="1" applyBorder="1" applyAlignment="1" applyProtection="1">
      <alignment vertical="top"/>
      <protection hidden="1"/>
    </xf>
    <xf numFmtId="4" fontId="0" fillId="5" borderId="11" xfId="0" applyNumberFormat="1" applyFill="1" applyBorder="1" applyAlignment="1" applyProtection="1">
      <alignment vertical="top"/>
      <protection hidden="1"/>
    </xf>
    <xf numFmtId="14" fontId="0" fillId="5" borderId="14" xfId="0" applyNumberFormat="1" applyFill="1" applyBorder="1" applyAlignment="1" applyProtection="1">
      <alignment vertical="top"/>
      <protection hidden="1"/>
    </xf>
    <xf numFmtId="49" fontId="0" fillId="5" borderId="14" xfId="0" applyNumberFormat="1" applyFill="1" applyBorder="1" applyAlignment="1" applyProtection="1">
      <alignment vertical="top"/>
      <protection hidden="1"/>
    </xf>
    <xf numFmtId="4" fontId="0" fillId="5" borderId="15" xfId="0" applyNumberFormat="1" applyFill="1" applyBorder="1" applyAlignment="1" applyProtection="1">
      <alignment vertical="top"/>
      <protection hidden="1"/>
    </xf>
    <xf numFmtId="0" fontId="8" fillId="3" borderId="2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2" fillId="4" borderId="28" xfId="0" applyFont="1" applyFill="1" applyBorder="1" applyAlignment="1" applyProtection="1">
      <alignment vertical="top"/>
      <protection hidden="1"/>
    </xf>
    <xf numFmtId="0" fontId="0" fillId="4" borderId="28" xfId="0" applyFill="1" applyBorder="1" applyAlignment="1" applyProtection="1">
      <alignment vertical="top"/>
      <protection hidden="1"/>
    </xf>
    <xf numFmtId="0" fontId="2" fillId="4" borderId="77" xfId="0" applyFont="1" applyFill="1" applyBorder="1" applyAlignment="1" applyProtection="1">
      <alignment vertical="top"/>
      <protection hidden="1"/>
    </xf>
    <xf numFmtId="0" fontId="2" fillId="4" borderId="24" xfId="0" applyFont="1" applyFill="1" applyBorder="1" applyAlignment="1" applyProtection="1">
      <alignment vertical="top"/>
      <protection hidden="1"/>
    </xf>
    <xf numFmtId="0" fontId="2" fillId="4" borderId="14" xfId="0" applyFont="1" applyFill="1" applyBorder="1" applyAlignment="1" applyProtection="1">
      <alignment vertical="top"/>
      <protection hidden="1"/>
    </xf>
    <xf numFmtId="0" fontId="2" fillId="0" borderId="0" xfId="0" applyFont="1" applyFill="1" applyBorder="1" applyAlignment="1" applyProtection="1">
      <alignment horizontal="left" vertical="top"/>
      <protection hidden="1"/>
    </xf>
    <xf numFmtId="14" fontId="4" fillId="0" borderId="0" xfId="0" applyNumberFormat="1" applyFont="1" applyFill="1" applyBorder="1" applyAlignment="1" applyProtection="1">
      <alignment vertical="top"/>
      <protection hidden="1"/>
    </xf>
    <xf numFmtId="0" fontId="2" fillId="6" borderId="1" xfId="0" applyFont="1" applyFill="1" applyBorder="1" applyAlignment="1" applyProtection="1">
      <alignment vertical="top"/>
      <protection hidden="1"/>
    </xf>
    <xf numFmtId="0" fontId="2" fillId="6" borderId="1" xfId="0" applyFont="1" applyFill="1" applyBorder="1" applyAlignment="1" applyProtection="1">
      <alignment horizontal="left" vertical="top"/>
      <protection hidden="1"/>
    </xf>
    <xf numFmtId="14" fontId="1" fillId="6" borderId="10" xfId="0" applyNumberFormat="1" applyFont="1" applyFill="1" applyBorder="1" applyAlignment="1" applyProtection="1">
      <alignment vertical="top"/>
      <protection hidden="1"/>
    </xf>
    <xf numFmtId="0" fontId="1" fillId="6" borderId="6" xfId="0" applyFont="1" applyFill="1" applyBorder="1" applyAlignment="1" applyProtection="1">
      <alignment horizontal="right" vertical="top"/>
      <protection hidden="1"/>
    </xf>
    <xf numFmtId="0" fontId="2" fillId="6" borderId="0" xfId="0" applyFont="1" applyFill="1" applyBorder="1" applyAlignment="1" applyProtection="1">
      <alignment vertical="top"/>
      <protection hidden="1"/>
    </xf>
    <xf numFmtId="0" fontId="2" fillId="6" borderId="0" xfId="0" applyFont="1" applyFill="1" applyBorder="1" applyAlignment="1" applyProtection="1">
      <alignment horizontal="left" vertical="top"/>
      <protection hidden="1"/>
    </xf>
    <xf numFmtId="0" fontId="1" fillId="6" borderId="8" xfId="0" applyFont="1" applyFill="1" applyBorder="1" applyAlignment="1" applyProtection="1">
      <alignment horizontal="right" vertical="top"/>
      <protection hidden="1"/>
    </xf>
    <xf numFmtId="0" fontId="2" fillId="6" borderId="14" xfId="0" applyFont="1" applyFill="1" applyBorder="1" applyAlignment="1" applyProtection="1">
      <alignment vertical="top"/>
      <protection hidden="1"/>
    </xf>
    <xf numFmtId="0" fontId="2" fillId="6" borderId="14" xfId="0" applyFont="1" applyFill="1" applyBorder="1" applyAlignment="1" applyProtection="1">
      <alignment horizontal="left" vertical="top"/>
      <protection hidden="1"/>
    </xf>
    <xf numFmtId="14" fontId="4" fillId="6" borderId="15" xfId="0" applyNumberFormat="1" applyFont="1" applyFill="1" applyBorder="1" applyAlignment="1" applyProtection="1">
      <alignment vertical="top"/>
      <protection hidden="1"/>
    </xf>
    <xf numFmtId="0" fontId="1" fillId="5" borderId="1" xfId="0" applyFont="1" applyFill="1" applyBorder="1" applyAlignment="1" applyProtection="1">
      <alignment horizontal="left" vertical="top"/>
      <protection hidden="1"/>
    </xf>
    <xf numFmtId="0" fontId="1" fillId="5" borderId="10" xfId="0" applyFont="1" applyFill="1" applyBorder="1" applyAlignment="1" applyProtection="1">
      <alignment vertical="top"/>
      <protection hidden="1"/>
    </xf>
    <xf numFmtId="0" fontId="2" fillId="5" borderId="0" xfId="0" applyFont="1" applyFill="1" applyBorder="1" applyAlignment="1" applyProtection="1">
      <alignment horizontal="left" vertical="top"/>
      <protection hidden="1"/>
    </xf>
    <xf numFmtId="14" fontId="1" fillId="5" borderId="11" xfId="0" applyNumberFormat="1" applyFont="1" applyFill="1" applyBorder="1" applyAlignment="1" applyProtection="1">
      <alignment vertical="top"/>
      <protection hidden="1"/>
    </xf>
    <xf numFmtId="1" fontId="2" fillId="5" borderId="0" xfId="0" applyNumberFormat="1" applyFont="1" applyFill="1" applyBorder="1" applyAlignment="1" applyProtection="1">
      <alignment horizontal="center" vertical="top"/>
      <protection hidden="1"/>
    </xf>
    <xf numFmtId="1" fontId="2" fillId="5" borderId="0" xfId="0" applyNumberFormat="1" applyFont="1" applyFill="1" applyBorder="1" applyAlignment="1" applyProtection="1">
      <alignment horizontal="left" vertical="top"/>
      <protection hidden="1"/>
    </xf>
    <xf numFmtId="0" fontId="2" fillId="5" borderId="0" xfId="0" applyFont="1" applyFill="1" applyBorder="1" applyAlignment="1" applyProtection="1">
      <alignment horizontal="center" vertical="top"/>
      <protection hidden="1"/>
    </xf>
    <xf numFmtId="0" fontId="0" fillId="5" borderId="0" xfId="0" applyFill="1" applyBorder="1" applyAlignment="1" applyProtection="1">
      <alignment horizontal="center" vertical="top"/>
      <protection hidden="1"/>
    </xf>
    <xf numFmtId="0" fontId="0" fillId="5" borderId="0" xfId="0" applyFill="1" applyBorder="1" applyAlignment="1" applyProtection="1">
      <alignment horizontal="left" vertical="top"/>
      <protection hidden="1"/>
    </xf>
    <xf numFmtId="0" fontId="0" fillId="5" borderId="14" xfId="0" applyFill="1" applyBorder="1" applyAlignment="1" applyProtection="1">
      <alignment horizontal="center" vertical="top"/>
      <protection hidden="1"/>
    </xf>
    <xf numFmtId="0" fontId="0" fillId="5" borderId="14" xfId="0" applyFill="1" applyBorder="1" applyAlignment="1" applyProtection="1">
      <alignment horizontal="left" vertical="top"/>
      <protection hidden="1"/>
    </xf>
    <xf numFmtId="14" fontId="1" fillId="5" borderId="15" xfId="0" applyNumberFormat="1" applyFont="1" applyFill="1" applyBorder="1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horizontal="left" vertical="top"/>
      <protection hidden="1"/>
    </xf>
    <xf numFmtId="0" fontId="5" fillId="2" borderId="0" xfId="0" applyFont="1" applyFill="1" applyBorder="1" applyAlignment="1" applyProtection="1">
      <alignment vertical="top"/>
      <protection hidden="1"/>
    </xf>
    <xf numFmtId="14" fontId="0" fillId="2" borderId="0" xfId="0" applyNumberFormat="1" applyFill="1" applyBorder="1" applyAlignment="1" applyProtection="1">
      <alignment vertical="top"/>
      <protection hidden="1"/>
    </xf>
    <xf numFmtId="1" fontId="2" fillId="2" borderId="0" xfId="0" applyNumberFormat="1" applyFont="1" applyFill="1" applyBorder="1" applyAlignment="1" applyProtection="1">
      <alignment vertical="top"/>
      <protection hidden="1"/>
    </xf>
    <xf numFmtId="1" fontId="4" fillId="2" borderId="0" xfId="0" applyNumberFormat="1" applyFont="1" applyFill="1" applyBorder="1" applyAlignment="1" applyProtection="1">
      <alignment vertical="top"/>
      <protection hidden="1"/>
    </xf>
    <xf numFmtId="0" fontId="0" fillId="2" borderId="0" xfId="0" applyFill="1" applyBorder="1" applyAlignment="1" applyProtection="1">
      <alignment horizontal="left" vertical="top"/>
      <protection hidden="1"/>
    </xf>
    <xf numFmtId="14" fontId="1" fillId="2" borderId="11" xfId="0" applyNumberFormat="1" applyFont="1" applyFill="1" applyBorder="1" applyAlignment="1" applyProtection="1">
      <alignment vertical="top"/>
      <protection hidden="1"/>
    </xf>
    <xf numFmtId="0" fontId="4" fillId="3" borderId="0" xfId="0" applyFont="1" applyFill="1" applyBorder="1" applyAlignment="1" applyProtection="1">
      <alignment vertical="top"/>
      <protection locked="0"/>
    </xf>
    <xf numFmtId="14" fontId="4" fillId="3" borderId="76" xfId="0" applyNumberFormat="1" applyFont="1" applyFill="1" applyBorder="1" applyAlignment="1" applyProtection="1">
      <alignment vertical="top"/>
      <protection locked="0"/>
    </xf>
    <xf numFmtId="0" fontId="4" fillId="3" borderId="38" xfId="0" applyFont="1" applyFill="1" applyBorder="1" applyAlignment="1" applyProtection="1">
      <alignment vertical="top"/>
      <protection locked="0"/>
    </xf>
    <xf numFmtId="14" fontId="4" fillId="3" borderId="38" xfId="0" applyNumberFormat="1" applyFont="1" applyFill="1" applyBorder="1" applyAlignment="1" applyProtection="1">
      <alignment vertical="top"/>
      <protection locked="0"/>
    </xf>
    <xf numFmtId="14" fontId="4" fillId="3" borderId="37" xfId="0" applyNumberFormat="1" applyFont="1" applyFill="1" applyBorder="1" applyAlignment="1" applyProtection="1">
      <alignment vertical="top"/>
      <protection locked="0"/>
    </xf>
    <xf numFmtId="0" fontId="0" fillId="2" borderId="0" xfId="0" applyFill="1" applyBorder="1" applyAlignment="1" applyProtection="1">
      <alignment horizontal="center" vertical="top"/>
      <protection hidden="1"/>
    </xf>
    <xf numFmtId="0" fontId="2" fillId="2" borderId="8" xfId="0" applyFont="1" applyFill="1" applyBorder="1" applyAlignment="1" applyProtection="1">
      <alignment vertical="top"/>
      <protection hidden="1"/>
    </xf>
    <xf numFmtId="0" fontId="0" fillId="2" borderId="14" xfId="0" applyFill="1" applyBorder="1" applyAlignment="1" applyProtection="1">
      <alignment horizontal="center" vertical="top"/>
      <protection hidden="1"/>
    </xf>
    <xf numFmtId="14" fontId="4" fillId="3" borderId="80" xfId="0" applyNumberFormat="1" applyFont="1" applyFill="1" applyBorder="1" applyAlignment="1" applyProtection="1">
      <alignment vertical="top"/>
      <protection locked="0"/>
    </xf>
    <xf numFmtId="1" fontId="4" fillId="2" borderId="14" xfId="0" applyNumberFormat="1" applyFont="1" applyFill="1" applyBorder="1" applyAlignment="1" applyProtection="1">
      <alignment vertical="top"/>
      <protection hidden="1"/>
    </xf>
    <xf numFmtId="0" fontId="0" fillId="2" borderId="14" xfId="0" applyFill="1" applyBorder="1" applyAlignment="1" applyProtection="1">
      <alignment horizontal="left" vertical="top"/>
      <protection hidden="1"/>
    </xf>
    <xf numFmtId="14" fontId="1" fillId="2" borderId="15" xfId="0" applyNumberFormat="1" applyFont="1" applyFill="1" applyBorder="1" applyAlignment="1" applyProtection="1">
      <alignment vertical="top"/>
      <protection hidden="1"/>
    </xf>
    <xf numFmtId="0" fontId="1" fillId="6" borderId="1" xfId="0" applyFont="1" applyFill="1" applyBorder="1" applyAlignment="1" applyProtection="1">
      <alignment horizontal="left" vertical="top"/>
      <protection hidden="1"/>
    </xf>
    <xf numFmtId="0" fontId="1" fillId="6" borderId="10" xfId="0" applyFont="1" applyFill="1" applyBorder="1" applyAlignment="1" applyProtection="1">
      <alignment vertical="top"/>
      <protection hidden="1"/>
    </xf>
    <xf numFmtId="0" fontId="5" fillId="6" borderId="6" xfId="0" applyFont="1" applyFill="1" applyBorder="1" applyAlignment="1" applyProtection="1">
      <alignment vertical="top"/>
      <protection hidden="1"/>
    </xf>
    <xf numFmtId="14" fontId="1" fillId="6" borderId="11" xfId="0" applyNumberFormat="1" applyFont="1" applyFill="1" applyBorder="1" applyAlignment="1" applyProtection="1">
      <alignment vertical="top"/>
      <protection hidden="1"/>
    </xf>
    <xf numFmtId="1" fontId="2" fillId="6" borderId="14" xfId="0" applyNumberFormat="1" applyFont="1" applyFill="1" applyBorder="1" applyAlignment="1" applyProtection="1">
      <alignment horizontal="center" vertical="top"/>
      <protection hidden="1"/>
    </xf>
    <xf numFmtId="1" fontId="2" fillId="6" borderId="14" xfId="0" applyNumberFormat="1" applyFont="1" applyFill="1" applyBorder="1" applyAlignment="1" applyProtection="1">
      <alignment vertical="top"/>
      <protection hidden="1"/>
    </xf>
    <xf numFmtId="1" fontId="2" fillId="6" borderId="14" xfId="0" applyNumberFormat="1" applyFont="1" applyFill="1" applyBorder="1" applyAlignment="1" applyProtection="1">
      <alignment horizontal="left" vertical="top"/>
      <protection hidden="1"/>
    </xf>
    <xf numFmtId="14" fontId="1" fillId="6" borderId="15" xfId="0" applyNumberFormat="1" applyFont="1" applyFill="1" applyBorder="1" applyAlignment="1" applyProtection="1">
      <alignment vertical="top"/>
      <protection hidden="1"/>
    </xf>
    <xf numFmtId="0" fontId="1" fillId="6" borderId="1" xfId="0" applyFont="1" applyFill="1" applyBorder="1" applyAlignment="1" applyProtection="1">
      <alignment horizontal="right" vertical="top"/>
      <protection hidden="1"/>
    </xf>
    <xf numFmtId="0" fontId="11" fillId="0" borderId="0" xfId="0" applyFont="1" applyAlignment="1" applyProtection="1">
      <alignment vertical="top"/>
      <protection hidden="1"/>
    </xf>
    <xf numFmtId="0" fontId="2" fillId="0" borderId="54" xfId="0" applyNumberFormat="1" applyFont="1" applyFill="1" applyBorder="1" applyAlignment="1" applyProtection="1">
      <alignment vertical="top"/>
      <protection hidden="1"/>
    </xf>
    <xf numFmtId="4" fontId="1" fillId="0" borderId="62" xfId="0" applyNumberFormat="1" applyFont="1" applyFill="1" applyBorder="1" applyAlignment="1" applyProtection="1">
      <alignment vertical="top"/>
      <protection hidden="1"/>
    </xf>
    <xf numFmtId="49" fontId="1" fillId="0" borderId="66" xfId="0" applyNumberFormat="1" applyFont="1" applyFill="1" applyBorder="1" applyAlignment="1" applyProtection="1">
      <alignment vertical="top"/>
      <protection hidden="1"/>
    </xf>
    <xf numFmtId="49" fontId="4" fillId="3" borderId="7" xfId="0" applyNumberFormat="1" applyFont="1" applyFill="1" applyBorder="1" applyAlignment="1" applyProtection="1">
      <alignment vertical="top"/>
      <protection locked="0"/>
    </xf>
    <xf numFmtId="14" fontId="4" fillId="3" borderId="9" xfId="0" applyNumberFormat="1" applyFont="1" applyFill="1" applyBorder="1" applyAlignment="1" applyProtection="1">
      <alignment vertical="top"/>
      <protection locked="0"/>
    </xf>
    <xf numFmtId="0" fontId="11" fillId="0" borderId="0" xfId="0" applyNumberFormat="1" applyFont="1" applyProtection="1"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15" fontId="2" fillId="0" borderId="0" xfId="0" applyNumberFormat="1" applyFont="1" applyProtection="1">
      <protection hidden="1"/>
    </xf>
    <xf numFmtId="15" fontId="1" fillId="0" borderId="0" xfId="0" applyNumberFormat="1" applyFont="1" applyProtection="1">
      <protection hidden="1"/>
    </xf>
    <xf numFmtId="4" fontId="0" fillId="4" borderId="14" xfId="0" applyNumberFormat="1" applyFill="1" applyBorder="1" applyAlignment="1" applyProtection="1">
      <alignment vertical="top"/>
      <protection hidden="1"/>
    </xf>
    <xf numFmtId="4" fontId="0" fillId="4" borderId="0" xfId="0" applyNumberFormat="1" applyFill="1" applyBorder="1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vertical="top"/>
      <protection hidden="1"/>
    </xf>
    <xf numFmtId="0" fontId="0" fillId="2" borderId="1" xfId="0" applyFill="1" applyBorder="1" applyAlignment="1" applyProtection="1">
      <alignment vertical="top"/>
      <protection hidden="1"/>
    </xf>
    <xf numFmtId="0" fontId="1" fillId="5" borderId="0" xfId="0" applyFont="1" applyFill="1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5" borderId="11" xfId="0" applyFill="1" applyBorder="1" applyAlignment="1" applyProtection="1">
      <alignment vertical="top"/>
      <protection hidden="1"/>
    </xf>
    <xf numFmtId="49" fontId="4" fillId="3" borderId="77" xfId="0" applyNumberFormat="1" applyFont="1" applyFill="1" applyBorder="1" applyAlignment="1" applyProtection="1">
      <alignment vertical="top"/>
      <protection locked="0"/>
    </xf>
    <xf numFmtId="49" fontId="4" fillId="3" borderId="6" xfId="0" applyNumberFormat="1" applyFont="1" applyFill="1" applyBorder="1" applyAlignment="1" applyProtection="1">
      <alignment vertical="top"/>
      <protection locked="0"/>
    </xf>
    <xf numFmtId="49" fontId="4" fillId="3" borderId="36" xfId="0" applyNumberFormat="1" applyFont="1" applyFill="1" applyBorder="1" applyAlignment="1" applyProtection="1">
      <alignment vertical="top"/>
      <protection locked="0"/>
    </xf>
    <xf numFmtId="15" fontId="2" fillId="0" borderId="31" xfId="0" applyNumberFormat="1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7" fillId="0" borderId="0" xfId="0" applyFont="1" applyFill="1" applyBorder="1" applyAlignment="1" applyProtection="1">
      <alignment vertical="top"/>
      <protection hidden="1"/>
    </xf>
    <xf numFmtId="0" fontId="17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vertical="top"/>
      <protection locked="0"/>
    </xf>
    <xf numFmtId="0" fontId="16" fillId="7" borderId="26" xfId="0" applyFont="1" applyFill="1" applyBorder="1" applyAlignment="1" applyProtection="1">
      <alignment vertical="top"/>
      <protection hidden="1"/>
    </xf>
    <xf numFmtId="4" fontId="4" fillId="3" borderId="4" xfId="0" applyNumberFormat="1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hidden="1"/>
    </xf>
    <xf numFmtId="0" fontId="17" fillId="0" borderId="0" xfId="0" applyFont="1"/>
    <xf numFmtId="49" fontId="1" fillId="0" borderId="34" xfId="0" applyNumberFormat="1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2" fontId="17" fillId="0" borderId="0" xfId="0" applyNumberFormat="1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4" fillId="3" borderId="0" xfId="0" applyNumberFormat="1" applyFont="1" applyFill="1" applyBorder="1" applyAlignment="1" applyProtection="1">
      <alignment horizontal="center" vertical="top"/>
      <protection locked="0"/>
    </xf>
    <xf numFmtId="0" fontId="4" fillId="3" borderId="76" xfId="0" applyNumberFormat="1" applyFont="1" applyFill="1" applyBorder="1" applyAlignment="1" applyProtection="1">
      <alignment horizontal="center" vertical="top"/>
      <protection locked="0"/>
    </xf>
    <xf numFmtId="0" fontId="4" fillId="3" borderId="38" xfId="0" applyNumberFormat="1" applyFont="1" applyFill="1" applyBorder="1" applyAlignment="1" applyProtection="1">
      <alignment horizontal="center" vertical="top"/>
      <protection locked="0"/>
    </xf>
    <xf numFmtId="0" fontId="4" fillId="3" borderId="37" xfId="0" applyNumberFormat="1" applyFont="1" applyFill="1" applyBorder="1" applyAlignment="1" applyProtection="1">
      <alignment horizontal="center" vertical="top"/>
      <protection locked="0"/>
    </xf>
    <xf numFmtId="0" fontId="4" fillId="3" borderId="13" xfId="0" applyNumberFormat="1" applyFont="1" applyFill="1" applyBorder="1" applyAlignment="1" applyProtection="1">
      <alignment vertical="top"/>
      <protection locked="0"/>
    </xf>
    <xf numFmtId="0" fontId="1" fillId="0" borderId="44" xfId="0" applyNumberFormat="1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" fillId="8" borderId="3" xfId="0" applyFont="1" applyFill="1" applyBorder="1" applyAlignment="1" applyProtection="1">
      <alignment vertical="top"/>
      <protection hidden="1"/>
    </xf>
    <xf numFmtId="0" fontId="1" fillId="8" borderId="111" xfId="0" applyFont="1" applyFill="1" applyBorder="1" applyAlignment="1" applyProtection="1">
      <alignment vertical="top"/>
      <protection hidden="1"/>
    </xf>
    <xf numFmtId="0" fontId="0" fillId="8" borderId="10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" fillId="9" borderId="1" xfId="0" applyNumberFormat="1" applyFont="1" applyFill="1" applyBorder="1" applyAlignment="1" applyProtection="1">
      <alignment vertical="top"/>
      <protection hidden="1"/>
    </xf>
    <xf numFmtId="0" fontId="0" fillId="9" borderId="1" xfId="0" applyFill="1" applyBorder="1" applyAlignment="1" applyProtection="1">
      <alignment vertical="top"/>
      <protection hidden="1"/>
    </xf>
    <xf numFmtId="4" fontId="0" fillId="0" borderId="14" xfId="0" applyNumberFormat="1" applyFill="1" applyBorder="1" applyAlignment="1" applyProtection="1">
      <alignment vertical="top"/>
      <protection hidden="1"/>
    </xf>
    <xf numFmtId="4" fontId="2" fillId="4" borderId="0" xfId="0" applyNumberFormat="1" applyFont="1" applyFill="1" applyBorder="1" applyAlignment="1" applyProtection="1">
      <alignment vertical="top"/>
      <protection hidden="1"/>
    </xf>
    <xf numFmtId="4" fontId="4" fillId="3" borderId="97" xfId="0" applyNumberFormat="1" applyFont="1" applyFill="1" applyBorder="1" applyAlignment="1" applyProtection="1">
      <alignment vertical="top"/>
      <protection locked="0"/>
    </xf>
    <xf numFmtId="0" fontId="1" fillId="8" borderId="5" xfId="0" applyFont="1" applyFill="1" applyBorder="1" applyAlignment="1" applyProtection="1">
      <alignment vertical="top"/>
      <protection hidden="1"/>
    </xf>
    <xf numFmtId="0" fontId="1" fillId="8" borderId="1" xfId="0" applyNumberFormat="1" applyFont="1" applyFill="1" applyBorder="1" applyAlignment="1" applyProtection="1">
      <alignment vertical="top"/>
      <protection hidden="1"/>
    </xf>
    <xf numFmtId="0" fontId="0" fillId="8" borderId="1" xfId="0" applyFill="1" applyBorder="1" applyAlignment="1" applyProtection="1">
      <alignment vertical="top"/>
      <protection hidden="1"/>
    </xf>
    <xf numFmtId="0" fontId="2" fillId="9" borderId="0" xfId="0" applyNumberFormat="1" applyFont="1" applyFill="1" applyBorder="1" applyAlignment="1" applyProtection="1">
      <alignment vertical="top"/>
      <protection hidden="1"/>
    </xf>
    <xf numFmtId="0" fontId="0" fillId="9" borderId="0" xfId="0" applyFill="1" applyBorder="1" applyAlignment="1" applyProtection="1">
      <alignment vertical="top"/>
      <protection hidden="1"/>
    </xf>
    <xf numFmtId="4" fontId="0" fillId="9" borderId="0" xfId="0" applyNumberFormat="1" applyFill="1" applyBorder="1" applyAlignment="1" applyProtection="1">
      <alignment vertical="top"/>
      <protection hidden="1"/>
    </xf>
    <xf numFmtId="0" fontId="0" fillId="9" borderId="11" xfId="0" applyNumberFormat="1" applyFill="1" applyBorder="1" applyAlignment="1" applyProtection="1">
      <alignment vertical="top"/>
      <protection hidden="1"/>
    </xf>
    <xf numFmtId="49" fontId="2" fillId="9" borderId="0" xfId="0" applyNumberFormat="1" applyFont="1" applyFill="1" applyBorder="1" applyAlignment="1" applyProtection="1">
      <alignment vertical="top"/>
      <protection hidden="1"/>
    </xf>
    <xf numFmtId="4" fontId="1" fillId="9" borderId="0" xfId="0" applyNumberFormat="1" applyFont="1" applyFill="1" applyBorder="1" applyAlignment="1" applyProtection="1">
      <alignment vertical="top"/>
      <protection hidden="1"/>
    </xf>
    <xf numFmtId="49" fontId="2" fillId="9" borderId="14" xfId="0" applyNumberFormat="1" applyFont="1" applyFill="1" applyBorder="1" applyAlignment="1" applyProtection="1">
      <alignment vertical="top"/>
      <protection hidden="1"/>
    </xf>
    <xf numFmtId="0" fontId="0" fillId="9" borderId="14" xfId="0" applyFill="1" applyBorder="1" applyAlignment="1" applyProtection="1">
      <alignment vertical="top"/>
      <protection hidden="1"/>
    </xf>
    <xf numFmtId="4" fontId="1" fillId="9" borderId="14" xfId="0" applyNumberFormat="1" applyFont="1" applyFill="1" applyBorder="1" applyAlignment="1" applyProtection="1">
      <alignment vertical="top"/>
      <protection hidden="1"/>
    </xf>
    <xf numFmtId="0" fontId="0" fillId="9" borderId="15" xfId="0" applyNumberFormat="1" applyFill="1" applyBorder="1" applyAlignment="1" applyProtection="1">
      <alignment vertical="top"/>
      <protection hidden="1"/>
    </xf>
    <xf numFmtId="0" fontId="1" fillId="9" borderId="3" xfId="0" applyFont="1" applyFill="1" applyBorder="1" applyAlignment="1" applyProtection="1">
      <alignment vertical="top"/>
      <protection hidden="1"/>
    </xf>
    <xf numFmtId="14" fontId="1" fillId="9" borderId="10" xfId="0" applyNumberFormat="1" applyFont="1" applyFill="1" applyBorder="1" applyAlignment="1" applyProtection="1">
      <alignment vertical="top"/>
      <protection hidden="1"/>
    </xf>
    <xf numFmtId="0" fontId="0" fillId="9" borderId="8" xfId="0" applyFill="1" applyBorder="1" applyAlignment="1" applyProtection="1">
      <alignment vertical="top"/>
      <protection hidden="1"/>
    </xf>
    <xf numFmtId="10" fontId="1" fillId="9" borderId="15" xfId="0" applyNumberFormat="1" applyFont="1" applyFill="1" applyBorder="1" applyAlignment="1" applyProtection="1">
      <alignment vertical="top"/>
      <protection hidden="1"/>
    </xf>
    <xf numFmtId="14" fontId="0" fillId="8" borderId="1" xfId="0" applyNumberFormat="1" applyFill="1" applyBorder="1" applyAlignment="1" applyProtection="1">
      <alignment vertical="top"/>
      <protection hidden="1"/>
    </xf>
    <xf numFmtId="10" fontId="0" fillId="8" borderId="1" xfId="0" applyNumberFormat="1" applyFill="1" applyBorder="1" applyAlignment="1" applyProtection="1">
      <alignment vertical="top"/>
      <protection hidden="1"/>
    </xf>
    <xf numFmtId="49" fontId="0" fillId="8" borderId="10" xfId="0" applyNumberFormat="1" applyFill="1" applyBorder="1" applyAlignment="1" applyProtection="1">
      <alignment vertical="top"/>
      <protection hidden="1"/>
    </xf>
    <xf numFmtId="0" fontId="1" fillId="8" borderId="94" xfId="0" applyFont="1" applyFill="1" applyBorder="1" applyAlignment="1" applyProtection="1">
      <alignment vertical="top"/>
      <protection hidden="1"/>
    </xf>
    <xf numFmtId="0" fontId="2" fillId="8" borderId="112" xfId="0" applyFont="1" applyFill="1" applyBorder="1" applyAlignment="1" applyProtection="1">
      <alignment vertical="top"/>
      <protection hidden="1"/>
    </xf>
    <xf numFmtId="4" fontId="4" fillId="3" borderId="113" xfId="0" applyNumberFormat="1" applyFont="1" applyFill="1" applyBorder="1" applyAlignment="1" applyProtection="1">
      <alignment vertical="top"/>
      <protection locked="0"/>
    </xf>
    <xf numFmtId="0" fontId="0" fillId="2" borderId="114" xfId="0" applyFill="1" applyBorder="1" applyAlignment="1" applyProtection="1">
      <alignment vertical="top"/>
      <protection hidden="1"/>
    </xf>
    <xf numFmtId="14" fontId="4" fillId="3" borderId="115" xfId="0" applyNumberFormat="1" applyFont="1" applyFill="1" applyBorder="1" applyAlignment="1" applyProtection="1">
      <alignment vertical="top"/>
      <protection locked="0"/>
    </xf>
    <xf numFmtId="49" fontId="4" fillId="3" borderId="116" xfId="0" applyNumberFormat="1" applyFont="1" applyFill="1" applyBorder="1" applyAlignment="1" applyProtection="1">
      <alignment vertical="top"/>
      <protection locked="0"/>
    </xf>
    <xf numFmtId="0" fontId="0" fillId="4" borderId="111" xfId="0" applyFill="1" applyBorder="1" applyAlignment="1" applyProtection="1">
      <alignment horizontal="left" vertical="top"/>
      <protection hidden="1"/>
    </xf>
    <xf numFmtId="14" fontId="4" fillId="3" borderId="94" xfId="0" applyNumberFormat="1" applyFont="1" applyFill="1" applyBorder="1" applyAlignment="1" applyProtection="1">
      <alignment vertical="top"/>
      <protection locked="0"/>
    </xf>
    <xf numFmtId="1" fontId="4" fillId="5" borderId="0" xfId="0" applyNumberFormat="1" applyFont="1" applyFill="1" applyBorder="1" applyAlignment="1" applyProtection="1">
      <alignment vertical="top"/>
      <protection hidden="1"/>
    </xf>
    <xf numFmtId="0" fontId="4" fillId="3" borderId="115" xfId="0" applyNumberFormat="1" applyFont="1" applyFill="1" applyBorder="1" applyAlignment="1" applyProtection="1">
      <alignment horizontal="center" vertical="top"/>
      <protection locked="0"/>
    </xf>
    <xf numFmtId="0" fontId="4" fillId="3" borderId="116" xfId="0" applyNumberFormat="1" applyFont="1" applyFill="1" applyBorder="1" applyAlignment="1" applyProtection="1">
      <alignment horizontal="center" vertical="top"/>
      <protection locked="0"/>
    </xf>
    <xf numFmtId="0" fontId="4" fillId="3" borderId="115" xfId="0" applyFont="1" applyFill="1" applyBorder="1" applyAlignment="1" applyProtection="1">
      <alignment vertical="top"/>
      <protection locked="0"/>
    </xf>
    <xf numFmtId="14" fontId="4" fillId="3" borderId="116" xfId="0" applyNumberFormat="1" applyFont="1" applyFill="1" applyBorder="1" applyAlignment="1" applyProtection="1">
      <alignment vertical="top"/>
      <protection locked="0"/>
    </xf>
    <xf numFmtId="14" fontId="4" fillId="3" borderId="117" xfId="0" applyNumberFormat="1" applyFont="1" applyFill="1" applyBorder="1" applyAlignment="1" applyProtection="1">
      <alignment vertical="top"/>
      <protection locked="0"/>
    </xf>
    <xf numFmtId="1" fontId="2" fillId="2" borderId="14" xfId="0" applyNumberFormat="1" applyFont="1" applyFill="1" applyBorder="1" applyAlignment="1" applyProtection="1">
      <alignment vertical="top"/>
      <protection hidden="1"/>
    </xf>
    <xf numFmtId="1" fontId="4" fillId="6" borderId="0" xfId="0" applyNumberFormat="1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14" fontId="4" fillId="3" borderId="41" xfId="0" applyNumberFormat="1" applyFont="1" applyFill="1" applyBorder="1" applyAlignment="1" applyProtection="1">
      <alignment vertical="top"/>
      <protection locked="0"/>
    </xf>
    <xf numFmtId="0" fontId="1" fillId="8" borderId="3" xfId="0" applyNumberFormat="1" applyFont="1" applyFill="1" applyBorder="1" applyAlignment="1" applyProtection="1">
      <alignment vertical="top"/>
      <protection hidden="1"/>
    </xf>
    <xf numFmtId="0" fontId="1" fillId="9" borderId="1" xfId="0" applyFont="1" applyFill="1" applyBorder="1" applyAlignment="1" applyProtection="1">
      <alignment vertical="top"/>
      <protection hidden="1"/>
    </xf>
    <xf numFmtId="0" fontId="0" fillId="9" borderId="10" xfId="0" applyFill="1" applyBorder="1" applyAlignment="1" applyProtection="1">
      <alignment vertical="top"/>
      <protection hidden="1"/>
    </xf>
    <xf numFmtId="0" fontId="2" fillId="9" borderId="6" xfId="0" applyFont="1" applyFill="1" applyBorder="1" applyAlignment="1" applyProtection="1">
      <alignment vertical="top"/>
      <protection hidden="1"/>
    </xf>
    <xf numFmtId="0" fontId="2" fillId="9" borderId="0" xfId="0" applyFont="1" applyFill="1" applyBorder="1" applyAlignment="1" applyProtection="1">
      <alignment vertical="top"/>
      <protection hidden="1"/>
    </xf>
    <xf numFmtId="0" fontId="1" fillId="9" borderId="0" xfId="0" applyFont="1" applyFill="1" applyBorder="1" applyAlignment="1" applyProtection="1">
      <alignment vertical="top"/>
      <protection hidden="1"/>
    </xf>
    <xf numFmtId="0" fontId="0" fillId="9" borderId="11" xfId="0" applyFill="1" applyBorder="1" applyAlignment="1" applyProtection="1">
      <alignment vertical="top"/>
      <protection hidden="1"/>
    </xf>
    <xf numFmtId="0" fontId="1" fillId="9" borderId="6" xfId="0" applyFont="1" applyFill="1" applyBorder="1" applyAlignment="1" applyProtection="1">
      <alignment vertical="top"/>
      <protection hidden="1"/>
    </xf>
    <xf numFmtId="0" fontId="0" fillId="9" borderId="6" xfId="0" applyFill="1" applyBorder="1" applyAlignment="1" applyProtection="1">
      <alignment vertical="top"/>
      <protection hidden="1"/>
    </xf>
    <xf numFmtId="4" fontId="0" fillId="9" borderId="11" xfId="0" applyNumberFormat="1" applyFill="1" applyBorder="1" applyAlignment="1" applyProtection="1">
      <alignment vertical="top"/>
      <protection hidden="1"/>
    </xf>
    <xf numFmtId="4" fontId="0" fillId="9" borderId="14" xfId="0" applyNumberFormat="1" applyFill="1" applyBorder="1" applyAlignment="1" applyProtection="1">
      <alignment vertical="top"/>
      <protection hidden="1"/>
    </xf>
    <xf numFmtId="4" fontId="0" fillId="9" borderId="15" xfId="0" applyNumberFormat="1" applyFill="1" applyBorder="1" applyAlignment="1" applyProtection="1">
      <alignment vertical="top"/>
      <protection hidden="1"/>
    </xf>
    <xf numFmtId="0" fontId="1" fillId="9" borderId="3" xfId="0" applyNumberFormat="1" applyFont="1" applyFill="1" applyBorder="1" applyAlignment="1" applyProtection="1">
      <alignment vertical="top"/>
      <protection hidden="1"/>
    </xf>
    <xf numFmtId="0" fontId="1" fillId="2" borderId="6" xfId="0" applyFont="1" applyFill="1" applyBorder="1" applyAlignment="1" applyProtection="1">
      <alignment vertical="top"/>
      <protection hidden="1"/>
    </xf>
    <xf numFmtId="4" fontId="4" fillId="3" borderId="116" xfId="0" applyNumberFormat="1" applyFont="1" applyFill="1" applyBorder="1" applyAlignment="1" applyProtection="1">
      <alignment vertical="top"/>
      <protection locked="0"/>
    </xf>
    <xf numFmtId="4" fontId="4" fillId="3" borderId="117" xfId="0" applyNumberFormat="1" applyFont="1" applyFill="1" applyBorder="1" applyAlignment="1" applyProtection="1">
      <alignment vertical="top"/>
      <protection locked="0"/>
    </xf>
    <xf numFmtId="4" fontId="4" fillId="3" borderId="115" xfId="0" applyNumberFormat="1" applyFont="1" applyFill="1" applyBorder="1" applyAlignment="1" applyProtection="1">
      <alignment vertical="top"/>
      <protection locked="0"/>
    </xf>
    <xf numFmtId="0" fontId="17" fillId="0" borderId="0" xfId="0" applyFont="1" applyFill="1" applyAlignment="1" applyProtection="1">
      <alignment vertical="top"/>
      <protection hidden="1"/>
    </xf>
    <xf numFmtId="0" fontId="0" fillId="2" borderId="0" xfId="0" applyFill="1" applyBorder="1" applyAlignment="1" applyProtection="1">
      <alignment vertical="top"/>
      <protection hidden="1"/>
    </xf>
    <xf numFmtId="0" fontId="2" fillId="0" borderId="92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49" fontId="4" fillId="3" borderId="6" xfId="0" applyNumberFormat="1" applyFont="1" applyFill="1" applyBorder="1" applyAlignment="1" applyProtection="1">
      <alignment vertical="top"/>
      <protection locked="0"/>
    </xf>
    <xf numFmtId="49" fontId="4" fillId="3" borderId="36" xfId="0" applyNumberFormat="1" applyFont="1" applyFill="1" applyBorder="1" applyAlignment="1" applyProtection="1">
      <alignment vertical="top"/>
      <protection locked="0"/>
    </xf>
    <xf numFmtId="49" fontId="4" fillId="3" borderId="114" xfId="0" applyNumberFormat="1" applyFont="1" applyFill="1" applyBorder="1" applyAlignment="1" applyProtection="1">
      <alignment vertical="top"/>
      <protection locked="0"/>
    </xf>
    <xf numFmtId="49" fontId="4" fillId="3" borderId="8" xfId="0" applyNumberFormat="1" applyFont="1" applyFill="1" applyBorder="1" applyAlignment="1" applyProtection="1">
      <alignment vertical="top"/>
      <protection locked="0"/>
    </xf>
    <xf numFmtId="0" fontId="11" fillId="0" borderId="0" xfId="0" applyNumberFormat="1" applyFont="1" applyFill="1" applyProtection="1">
      <protection hidden="1"/>
    </xf>
    <xf numFmtId="171" fontId="4" fillId="3" borderId="115" xfId="0" applyNumberFormat="1" applyFont="1" applyFill="1" applyBorder="1" applyAlignment="1" applyProtection="1">
      <alignment vertical="top"/>
      <protection locked="0"/>
    </xf>
    <xf numFmtId="171" fontId="4" fillId="3" borderId="0" xfId="0" applyNumberFormat="1" applyFont="1" applyFill="1" applyBorder="1" applyAlignment="1" applyProtection="1">
      <alignment vertical="top"/>
      <protection locked="0"/>
    </xf>
    <xf numFmtId="171" fontId="4" fillId="3" borderId="14" xfId="0" applyNumberFormat="1" applyFont="1" applyFill="1" applyBorder="1" applyAlignment="1" applyProtection="1">
      <alignment vertical="top"/>
      <protection locked="0"/>
    </xf>
    <xf numFmtId="164" fontId="4" fillId="3" borderId="13" xfId="0" applyNumberFormat="1" applyFont="1" applyFill="1" applyBorder="1" applyAlignment="1" applyProtection="1">
      <alignment vertical="top"/>
      <protection locked="0"/>
    </xf>
    <xf numFmtId="172" fontId="4" fillId="3" borderId="17" xfId="0" applyNumberFormat="1" applyFont="1" applyFill="1" applyBorder="1" applyAlignment="1" applyProtection="1">
      <alignment vertical="top"/>
      <protection locked="0"/>
    </xf>
    <xf numFmtId="172" fontId="4" fillId="3" borderId="19" xfId="0" applyNumberFormat="1" applyFont="1" applyFill="1" applyBorder="1" applyAlignment="1" applyProtection="1">
      <alignment vertical="top"/>
      <protection locked="0"/>
    </xf>
    <xf numFmtId="172" fontId="4" fillId="3" borderId="21" xfId="0" applyNumberFormat="1" applyFont="1" applyFill="1" applyBorder="1" applyAlignment="1" applyProtection="1">
      <alignment vertical="top"/>
      <protection locked="0"/>
    </xf>
    <xf numFmtId="173" fontId="4" fillId="3" borderId="7" xfId="0" applyNumberFormat="1" applyFont="1" applyFill="1" applyBorder="1" applyAlignment="1" applyProtection="1">
      <alignment vertical="top"/>
      <protection locked="0"/>
    </xf>
    <xf numFmtId="173" fontId="1" fillId="0" borderId="32" xfId="0" applyNumberFormat="1" applyFont="1" applyFill="1" applyBorder="1" applyAlignment="1" applyProtection="1">
      <alignment vertical="top"/>
      <protection hidden="1"/>
    </xf>
    <xf numFmtId="164" fontId="1" fillId="0" borderId="43" xfId="0" applyNumberFormat="1" applyFont="1" applyFill="1" applyBorder="1" applyAlignment="1" applyProtection="1">
      <alignment vertical="top"/>
      <protection hidden="1"/>
    </xf>
    <xf numFmtId="172" fontId="1" fillId="0" borderId="35" xfId="0" applyNumberFormat="1" applyFont="1" applyFill="1" applyBorder="1" applyAlignment="1" applyProtection="1">
      <alignment vertical="top"/>
      <protection hidden="1"/>
    </xf>
    <xf numFmtId="172" fontId="1" fillId="0" borderId="62" xfId="0" applyNumberFormat="1" applyFont="1" applyFill="1" applyBorder="1" applyAlignment="1" applyProtection="1">
      <alignment vertical="top"/>
      <protection hidden="1"/>
    </xf>
    <xf numFmtId="172" fontId="1" fillId="0" borderId="37" xfId="0" applyNumberFormat="1" applyFont="1" applyFill="1" applyBorder="1" applyAlignment="1" applyProtection="1">
      <alignment vertical="top"/>
      <protection hidden="1"/>
    </xf>
    <xf numFmtId="2" fontId="1" fillId="0" borderId="83" xfId="0" applyNumberFormat="1" applyFont="1" applyFill="1" applyBorder="1" applyAlignment="1" applyProtection="1">
      <alignment vertical="top"/>
      <protection hidden="1"/>
    </xf>
    <xf numFmtId="0" fontId="1" fillId="0" borderId="85" xfId="0" applyNumberFormat="1" applyFont="1" applyFill="1" applyBorder="1" applyAlignment="1" applyProtection="1">
      <alignment vertical="top"/>
      <protection hidden="1"/>
    </xf>
    <xf numFmtId="0" fontId="1" fillId="0" borderId="87" xfId="0" applyNumberFormat="1" applyFont="1" applyFill="1" applyBorder="1" applyAlignment="1" applyProtection="1">
      <alignment vertical="top"/>
      <protection hidden="1"/>
    </xf>
    <xf numFmtId="0" fontId="1" fillId="0" borderId="83" xfId="0" applyNumberFormat="1" applyFont="1" applyFill="1" applyBorder="1" applyAlignment="1" applyProtection="1">
      <alignment vertical="top"/>
      <protection hidden="1"/>
    </xf>
    <xf numFmtId="0" fontId="1" fillId="0" borderId="89" xfId="0" applyNumberFormat="1" applyFont="1" applyFill="1" applyBorder="1" applyAlignment="1" applyProtection="1">
      <alignment vertical="top"/>
      <protection hidden="1"/>
    </xf>
    <xf numFmtId="10" fontId="0" fillId="0" borderId="0" xfId="0" applyNumberForma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4" fontId="2" fillId="0" borderId="0" xfId="0" applyNumberFormat="1" applyFont="1" applyFill="1" applyBorder="1" applyAlignment="1" applyProtection="1">
      <alignment vertical="top"/>
      <protection hidden="1"/>
    </xf>
    <xf numFmtId="49" fontId="1" fillId="0" borderId="64" xfId="0" applyNumberFormat="1" applyFont="1" applyFill="1" applyBorder="1" applyAlignment="1" applyProtection="1">
      <alignment vertical="top"/>
      <protection hidden="1"/>
    </xf>
    <xf numFmtId="0" fontId="2" fillId="0" borderId="119" xfId="0" applyFont="1" applyFill="1" applyBorder="1" applyAlignment="1" applyProtection="1">
      <alignment vertical="top"/>
      <protection hidden="1"/>
    </xf>
    <xf numFmtId="0" fontId="2" fillId="0" borderId="109" xfId="0" applyFont="1" applyFill="1" applyBorder="1" applyAlignment="1" applyProtection="1">
      <alignment vertical="top"/>
      <protection hidden="1"/>
    </xf>
    <xf numFmtId="4" fontId="1" fillId="0" borderId="92" xfId="0" applyNumberFormat="1" applyFont="1" applyFill="1" applyBorder="1" applyAlignment="1" applyProtection="1">
      <alignment vertical="top"/>
      <protection hidden="1"/>
    </xf>
    <xf numFmtId="4" fontId="0" fillId="9" borderId="0" xfId="0" applyNumberForma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2" fillId="0" borderId="1" xfId="0" applyFont="1" applyFill="1" applyBorder="1" applyAlignment="1" applyProtection="1">
      <alignment vertical="top"/>
      <protection hidden="1"/>
    </xf>
    <xf numFmtId="0" fontId="2" fillId="0" borderId="123" xfId="0" applyNumberFormat="1" applyFont="1" applyFill="1" applyBorder="1" applyAlignment="1" applyProtection="1">
      <alignment vertical="top"/>
      <protection hidden="1"/>
    </xf>
    <xf numFmtId="0" fontId="2" fillId="0" borderId="121" xfId="0" applyFont="1" applyFill="1" applyBorder="1" applyAlignment="1" applyProtection="1">
      <alignment vertical="top"/>
      <protection hidden="1"/>
    </xf>
    <xf numFmtId="0" fontId="2" fillId="0" borderId="14" xfId="0" applyNumberFormat="1" applyFont="1" applyFill="1" applyBorder="1" applyAlignment="1" applyProtection="1">
      <alignment vertical="top"/>
      <protection hidden="1"/>
    </xf>
    <xf numFmtId="0" fontId="0" fillId="0" borderId="14" xfId="0" applyFill="1" applyBorder="1" applyAlignment="1" applyProtection="1">
      <alignment vertical="top"/>
      <protection hidden="1"/>
    </xf>
    <xf numFmtId="0" fontId="0" fillId="0" borderId="14" xfId="0" applyNumberFormat="1" applyFill="1" applyBorder="1" applyAlignment="1" applyProtection="1">
      <alignment vertical="top"/>
      <protection hidden="1"/>
    </xf>
    <xf numFmtId="0" fontId="2" fillId="4" borderId="6" xfId="0" applyNumberFormat="1" applyFont="1" applyFill="1" applyBorder="1" applyAlignment="1" applyProtection="1">
      <alignment vertical="top"/>
      <protection hidden="1"/>
    </xf>
    <xf numFmtId="0" fontId="2" fillId="4" borderId="15" xfId="0" applyNumberFormat="1" applyFont="1" applyFill="1" applyBorder="1" applyAlignment="1" applyProtection="1">
      <alignment vertical="top"/>
      <protection hidden="1"/>
    </xf>
    <xf numFmtId="49" fontId="1" fillId="0" borderId="54" xfId="0" applyNumberFormat="1" applyFont="1" applyFill="1" applyBorder="1" applyAlignment="1" applyProtection="1">
      <alignment vertical="top"/>
      <protection hidden="1"/>
    </xf>
    <xf numFmtId="49" fontId="1" fillId="0" borderId="67" xfId="0" applyNumberFormat="1" applyFont="1" applyFill="1" applyBorder="1" applyAlignment="1" applyProtection="1">
      <alignment vertical="top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2" fillId="4" borderId="1" xfId="0" applyFont="1" applyFill="1" applyBorder="1" applyAlignment="1" applyProtection="1">
      <alignment vertical="top"/>
      <protection hidden="1"/>
    </xf>
    <xf numFmtId="4" fontId="4" fillId="3" borderId="122" xfId="0" applyNumberFormat="1" applyFont="1" applyFill="1" applyBorder="1" applyAlignment="1" applyProtection="1">
      <alignment vertical="top"/>
      <protection locked="0"/>
    </xf>
    <xf numFmtId="4" fontId="18" fillId="0" borderId="0" xfId="0" applyNumberFormat="1" applyFont="1" applyProtection="1">
      <protection hidden="1"/>
    </xf>
    <xf numFmtId="0" fontId="2" fillId="0" borderId="124" xfId="0" applyFont="1" applyFill="1" applyBorder="1" applyAlignment="1" applyProtection="1">
      <alignment vertical="top"/>
      <protection hidden="1"/>
    </xf>
    <xf numFmtId="4" fontId="1" fillId="0" borderId="46" xfId="0" applyNumberFormat="1" applyFont="1" applyFill="1" applyBorder="1" applyAlignment="1" applyProtection="1">
      <alignment vertical="top"/>
      <protection hidden="1"/>
    </xf>
    <xf numFmtId="4" fontId="1" fillId="0" borderId="50" xfId="0" applyNumberFormat="1" applyFont="1" applyFill="1" applyBorder="1" applyAlignment="1" applyProtection="1">
      <alignment vertical="top"/>
      <protection hidden="1"/>
    </xf>
    <xf numFmtId="4" fontId="1" fillId="0" borderId="55" xfId="0" applyNumberFormat="1" applyFont="1" applyFill="1" applyBorder="1" applyAlignment="1" applyProtection="1">
      <alignment vertical="top"/>
      <protection hidden="1"/>
    </xf>
    <xf numFmtId="4" fontId="1" fillId="0" borderId="42" xfId="0" applyNumberFormat="1" applyFont="1" applyFill="1" applyBorder="1" applyAlignment="1" applyProtection="1">
      <alignment vertical="top"/>
      <protection hidden="1"/>
    </xf>
    <xf numFmtId="169" fontId="2" fillId="0" borderId="0" xfId="0" applyNumberFormat="1" applyFont="1" applyFill="1" applyBorder="1" applyAlignment="1" applyProtection="1">
      <alignment vertical="top"/>
      <protection hidden="1"/>
    </xf>
    <xf numFmtId="4" fontId="1" fillId="0" borderId="123" xfId="0" applyNumberFormat="1" applyFont="1" applyFill="1" applyBorder="1" applyAlignment="1" applyProtection="1">
      <alignment vertical="top"/>
      <protection hidden="1"/>
    </xf>
    <xf numFmtId="4" fontId="1" fillId="0" borderId="105" xfId="0" applyNumberFormat="1" applyFont="1" applyFill="1" applyBorder="1" applyAlignment="1" applyProtection="1">
      <alignment vertical="top"/>
      <protection hidden="1"/>
    </xf>
    <xf numFmtId="49" fontId="2" fillId="0" borderId="113" xfId="0" applyNumberFormat="1" applyFont="1" applyFill="1" applyBorder="1" applyAlignment="1" applyProtection="1">
      <alignment vertical="top"/>
      <protection hidden="1"/>
    </xf>
    <xf numFmtId="49" fontId="1" fillId="0" borderId="91" xfId="0" applyNumberFormat="1" applyFont="1" applyFill="1" applyBorder="1" applyAlignment="1" applyProtection="1">
      <alignment vertical="top"/>
      <protection hidden="1"/>
    </xf>
    <xf numFmtId="4" fontId="2" fillId="0" borderId="14" xfId="0" applyNumberFormat="1" applyFont="1" applyFill="1" applyBorder="1" applyAlignment="1" applyProtection="1">
      <alignment vertical="top"/>
      <protection hidden="1"/>
    </xf>
    <xf numFmtId="0" fontId="2" fillId="0" borderId="120" xfId="0" applyFont="1" applyFill="1" applyBorder="1" applyAlignment="1" applyProtection="1">
      <alignment vertical="top"/>
      <protection hidden="1"/>
    </xf>
    <xf numFmtId="49" fontId="4" fillId="3" borderId="96" xfId="0" applyNumberFormat="1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1" fontId="18" fillId="0" borderId="0" xfId="0" applyNumberFormat="1" applyFont="1" applyProtection="1">
      <protection hidden="1"/>
    </xf>
    <xf numFmtId="0" fontId="0" fillId="0" borderId="0" xfId="0" applyAlignment="1" applyProtection="1">
      <alignment vertical="top"/>
      <protection hidden="1"/>
    </xf>
    <xf numFmtId="0" fontId="2" fillId="3" borderId="8" xfId="0" applyFont="1" applyFill="1" applyBorder="1" applyAlignment="1" applyProtection="1">
      <alignment vertical="top"/>
      <protection hidden="1"/>
    </xf>
    <xf numFmtId="0" fontId="2" fillId="4" borderId="10" xfId="0" applyNumberFormat="1" applyFont="1" applyFill="1" applyBorder="1" applyAlignment="1" applyProtection="1">
      <alignment vertical="top"/>
      <protection hidden="1"/>
    </xf>
    <xf numFmtId="0" fontId="2" fillId="9" borderId="10" xfId="0" applyNumberFormat="1" applyFont="1" applyFill="1" applyBorder="1" applyAlignment="1" applyProtection="1">
      <alignment vertical="top"/>
      <protection hidden="1"/>
    </xf>
    <xf numFmtId="0" fontId="2" fillId="5" borderId="10" xfId="0" applyNumberFormat="1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14" fontId="2" fillId="0" borderId="0" xfId="0" applyNumberFormat="1" applyFont="1" applyProtection="1"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" fillId="0" borderId="38" xfId="0" applyFont="1" applyFill="1" applyBorder="1" applyAlignment="1" applyProtection="1">
      <alignment vertical="top"/>
      <protection hidden="1"/>
    </xf>
    <xf numFmtId="49" fontId="1" fillId="0" borderId="93" xfId="0" applyNumberFormat="1" applyFont="1" applyFill="1" applyBorder="1" applyAlignment="1" applyProtection="1">
      <alignment vertical="top"/>
      <protection hidden="1"/>
    </xf>
    <xf numFmtId="4" fontId="4" fillId="3" borderId="127" xfId="0" applyNumberFormat="1" applyFont="1" applyFill="1" applyBorder="1" applyAlignment="1" applyProtection="1">
      <alignment vertical="top"/>
      <protection locked="0"/>
    </xf>
    <xf numFmtId="0" fontId="2" fillId="4" borderId="38" xfId="0" applyFont="1" applyFill="1" applyBorder="1" applyAlignment="1" applyProtection="1">
      <alignment vertical="top"/>
      <protection hidden="1"/>
    </xf>
    <xf numFmtId="49" fontId="1" fillId="0" borderId="119" xfId="0" applyNumberFormat="1" applyFont="1" applyFill="1" applyBorder="1" applyAlignment="1" applyProtection="1">
      <alignment vertical="top"/>
      <protection hidden="1"/>
    </xf>
    <xf numFmtId="4" fontId="18" fillId="0" borderId="0" xfId="0" applyNumberFormat="1" applyFont="1" applyFill="1" applyProtection="1">
      <protection hidden="1"/>
    </xf>
    <xf numFmtId="4" fontId="19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14" fontId="18" fillId="0" borderId="0" xfId="0" applyNumberFormat="1" applyFont="1" applyProtection="1">
      <protection hidden="1"/>
    </xf>
    <xf numFmtId="10" fontId="18" fillId="0" borderId="0" xfId="0" applyNumberFormat="1" applyFont="1" applyProtection="1">
      <protection hidden="1"/>
    </xf>
    <xf numFmtId="49" fontId="18" fillId="0" borderId="0" xfId="0" applyNumberFormat="1" applyFont="1" applyProtection="1">
      <protection hidden="1"/>
    </xf>
    <xf numFmtId="4" fontId="0" fillId="9" borderId="0" xfId="0" applyNumberForma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" fillId="4" borderId="81" xfId="0" applyFont="1" applyFill="1" applyBorder="1" applyAlignment="1" applyProtection="1">
      <alignment vertical="top"/>
      <protection hidden="1"/>
    </xf>
    <xf numFmtId="0" fontId="1" fillId="0" borderId="130" xfId="0" applyFont="1" applyFill="1" applyBorder="1" applyAlignment="1" applyProtection="1">
      <alignment vertical="top"/>
      <protection hidden="1"/>
    </xf>
    <xf numFmtId="0" fontId="1" fillId="0" borderId="129" xfId="0" applyFont="1" applyFill="1" applyBorder="1" applyAlignment="1" applyProtection="1">
      <alignment vertical="top"/>
      <protection hidden="1"/>
    </xf>
    <xf numFmtId="49" fontId="4" fillId="3" borderId="131" xfId="0" applyNumberFormat="1" applyFont="1" applyFill="1" applyBorder="1" applyAlignment="1" applyProtection="1">
      <alignment vertical="top"/>
      <protection locked="0"/>
    </xf>
    <xf numFmtId="49" fontId="4" fillId="3" borderId="102" xfId="0" applyNumberFormat="1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hidden="1"/>
    </xf>
    <xf numFmtId="0" fontId="2" fillId="0" borderId="103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4" fontId="2" fillId="0" borderId="132" xfId="0" applyNumberFormat="1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14" fontId="19" fillId="0" borderId="0" xfId="0" applyNumberFormat="1" applyFont="1" applyProtection="1">
      <protection hidden="1"/>
    </xf>
    <xf numFmtId="0" fontId="0" fillId="0" borderId="0" xfId="0" applyAlignment="1" applyProtection="1">
      <alignment vertical="top"/>
      <protection hidden="1"/>
    </xf>
    <xf numFmtId="168" fontId="2" fillId="0" borderId="0" xfId="0" applyNumberFormat="1" applyFont="1" applyProtection="1">
      <protection hidden="1"/>
    </xf>
    <xf numFmtId="49" fontId="4" fillId="3" borderId="74" xfId="0" applyNumberFormat="1" applyFont="1" applyFill="1" applyBorder="1" applyAlignment="1" applyProtection="1">
      <alignment vertical="top"/>
      <protection locked="0"/>
    </xf>
    <xf numFmtId="49" fontId="0" fillId="3" borderId="75" xfId="0" applyNumberFormat="1" applyFill="1" applyBorder="1" applyAlignment="1" applyProtection="1">
      <alignment vertical="top"/>
      <protection locked="0"/>
    </xf>
    <xf numFmtId="0" fontId="2" fillId="8" borderId="8" xfId="0" applyFont="1" applyFill="1" applyBorder="1" applyAlignment="1" applyProtection="1">
      <alignment vertical="top"/>
      <protection hidden="1"/>
    </xf>
    <xf numFmtId="0" fontId="0" fillId="8" borderId="15" xfId="0" applyFill="1" applyBorder="1" applyAlignment="1">
      <alignment vertical="top"/>
    </xf>
    <xf numFmtId="0" fontId="2" fillId="8" borderId="14" xfId="0" applyFont="1" applyFill="1" applyBorder="1" applyAlignment="1">
      <alignment vertical="top"/>
    </xf>
    <xf numFmtId="0" fontId="2" fillId="8" borderId="15" xfId="0" applyFont="1" applyFill="1" applyBorder="1" applyAlignment="1">
      <alignment vertical="top"/>
    </xf>
    <xf numFmtId="4" fontId="0" fillId="9" borderId="14" xfId="0" applyNumberFormat="1" applyFill="1" applyBorder="1" applyAlignment="1" applyProtection="1">
      <alignment vertical="top"/>
      <protection hidden="1"/>
    </xf>
    <xf numFmtId="4" fontId="0" fillId="9" borderId="0" xfId="0" applyNumberFormat="1" applyFill="1" applyBorder="1" applyAlignment="1" applyProtection="1">
      <alignment vertical="top"/>
      <protection hidden="1"/>
    </xf>
    <xf numFmtId="1" fontId="0" fillId="5" borderId="0" xfId="0" applyNumberFormat="1" applyFill="1" applyBorder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vertical="top" wrapText="1"/>
      <protection hidden="1"/>
    </xf>
    <xf numFmtId="0" fontId="0" fillId="0" borderId="15" xfId="0" applyBorder="1" applyAlignment="1" applyProtection="1">
      <alignment vertical="top" wrapText="1"/>
      <protection hidden="1"/>
    </xf>
    <xf numFmtId="0" fontId="4" fillId="3" borderId="74" xfId="0" applyFont="1" applyFill="1" applyBorder="1" applyAlignment="1" applyProtection="1">
      <alignment vertical="top"/>
      <protection locked="0"/>
    </xf>
    <xf numFmtId="0" fontId="4" fillId="0" borderId="74" xfId="0" applyFont="1" applyBorder="1" applyAlignment="1" applyProtection="1">
      <alignment vertical="top"/>
      <protection locked="0"/>
    </xf>
    <xf numFmtId="0" fontId="4" fillId="0" borderId="75" xfId="0" applyFont="1" applyBorder="1" applyAlignment="1" applyProtection="1">
      <alignment vertical="top"/>
      <protection locked="0"/>
    </xf>
    <xf numFmtId="0" fontId="1" fillId="2" borderId="24" xfId="0" applyFont="1" applyFill="1" applyBorder="1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vertical="top"/>
      <protection hidden="1"/>
    </xf>
    <xf numFmtId="0" fontId="0" fillId="2" borderId="1" xfId="0" applyFill="1" applyBorder="1" applyAlignment="1" applyProtection="1">
      <alignment vertical="top"/>
      <protection hidden="1"/>
    </xf>
    <xf numFmtId="0" fontId="0" fillId="8" borderId="14" xfId="0" applyFill="1" applyBorder="1" applyAlignment="1">
      <alignment vertical="top"/>
    </xf>
    <xf numFmtId="49" fontId="20" fillId="3" borderId="127" xfId="0" applyNumberFormat="1" applyFont="1" applyFill="1" applyBorder="1" applyAlignment="1" applyProtection="1">
      <alignment vertical="top"/>
      <protection locked="0"/>
    </xf>
    <xf numFmtId="49" fontId="20" fillId="0" borderId="128" xfId="0" applyNumberFormat="1" applyFont="1" applyBorder="1" applyAlignment="1">
      <alignment vertical="top"/>
    </xf>
    <xf numFmtId="0" fontId="1" fillId="5" borderId="0" xfId="0" applyFont="1" applyFill="1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hidden="1"/>
    </xf>
    <xf numFmtId="0" fontId="1" fillId="5" borderId="14" xfId="0" applyFont="1" applyFill="1" applyBorder="1" applyAlignment="1" applyProtection="1">
      <alignment vertical="top"/>
      <protection hidden="1"/>
    </xf>
    <xf numFmtId="0" fontId="0" fillId="0" borderId="14" xfId="0" applyBorder="1" applyAlignment="1" applyProtection="1">
      <alignment vertical="top"/>
      <protection hidden="1"/>
    </xf>
    <xf numFmtId="49" fontId="4" fillId="10" borderId="92" xfId="0" applyNumberFormat="1" applyFont="1" applyFill="1" applyBorder="1" applyAlignment="1" applyProtection="1">
      <alignment vertical="top"/>
      <protection locked="0"/>
    </xf>
    <xf numFmtId="49" fontId="0" fillId="10" borderId="38" xfId="0" applyNumberForma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hidden="1"/>
    </xf>
    <xf numFmtId="0" fontId="1" fillId="6" borderId="0" xfId="0" applyFont="1" applyFill="1" applyBorder="1" applyAlignment="1" applyProtection="1">
      <alignment horizontal="left" vertical="top"/>
      <protection hidden="1"/>
    </xf>
    <xf numFmtId="0" fontId="0" fillId="0" borderId="11" xfId="0" applyBorder="1" applyAlignment="1" applyProtection="1">
      <alignment vertical="top"/>
      <protection hidden="1"/>
    </xf>
    <xf numFmtId="0" fontId="0" fillId="6" borderId="11" xfId="0" applyFill="1" applyBorder="1" applyAlignment="1" applyProtection="1">
      <alignment vertical="top"/>
      <protection hidden="1"/>
    </xf>
    <xf numFmtId="0" fontId="1" fillId="5" borderId="0" xfId="0" applyFont="1" applyFill="1" applyBorder="1" applyAlignment="1" applyProtection="1">
      <alignment horizontal="left" vertical="top"/>
      <protection hidden="1"/>
    </xf>
    <xf numFmtId="0" fontId="0" fillId="5" borderId="11" xfId="0" applyFill="1" applyBorder="1" applyAlignment="1" applyProtection="1">
      <alignment vertical="top"/>
      <protection hidden="1"/>
    </xf>
    <xf numFmtId="0" fontId="1" fillId="2" borderId="0" xfId="0" applyFont="1" applyFill="1" applyBorder="1" applyAlignment="1" applyProtection="1">
      <alignment horizontal="left" vertical="top"/>
      <protection hidden="1"/>
    </xf>
    <xf numFmtId="49" fontId="4" fillId="3" borderId="77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 applyProtection="1">
      <alignment vertical="top"/>
      <protection locked="0"/>
    </xf>
    <xf numFmtId="49" fontId="4" fillId="3" borderId="6" xfId="0" applyNumberFormat="1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49" fontId="4" fillId="3" borderId="36" xfId="0" applyNumberFormat="1" applyFont="1" applyFill="1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49" fontId="4" fillId="3" borderId="0" xfId="0" applyNumberFormat="1" applyFont="1" applyFill="1" applyBorder="1" applyAlignment="1" applyProtection="1">
      <alignment vertical="top"/>
      <protection locked="0"/>
    </xf>
    <xf numFmtId="49" fontId="4" fillId="3" borderId="38" xfId="0" applyNumberFormat="1" applyFont="1" applyFill="1" applyBorder="1" applyAlignment="1" applyProtection="1">
      <alignment vertical="top"/>
      <protection locked="0"/>
    </xf>
    <xf numFmtId="49" fontId="4" fillId="3" borderId="24" xfId="0" applyNumberFormat="1" applyFont="1" applyFill="1" applyBorder="1" applyAlignment="1" applyProtection="1">
      <alignment vertical="top"/>
      <protection locked="0"/>
    </xf>
    <xf numFmtId="49" fontId="4" fillId="3" borderId="117" xfId="0" applyNumberFormat="1" applyFont="1" applyFill="1" applyBorder="1" applyAlignment="1" applyProtection="1">
      <alignment vertical="top" wrapText="1"/>
      <protection locked="0"/>
    </xf>
    <xf numFmtId="49" fontId="0" fillId="0" borderId="118" xfId="0" applyNumberFormat="1" applyBorder="1" applyAlignment="1" applyProtection="1">
      <alignment vertical="top" wrapText="1"/>
      <protection locked="0"/>
    </xf>
    <xf numFmtId="49" fontId="0" fillId="0" borderId="59" xfId="0" applyNumberFormat="1" applyBorder="1" applyAlignment="1" applyProtection="1">
      <alignment vertical="top" wrapText="1"/>
      <protection locked="0"/>
    </xf>
    <xf numFmtId="49" fontId="0" fillId="0" borderId="15" xfId="0" applyNumberFormat="1" applyBorder="1" applyAlignment="1" applyProtection="1">
      <alignment vertical="top" wrapText="1"/>
      <protection locked="0"/>
    </xf>
    <xf numFmtId="0" fontId="1" fillId="0" borderId="28" xfId="0" applyNumberFormat="1" applyFont="1" applyFill="1" applyBorder="1" applyAlignment="1" applyProtection="1">
      <alignment vertical="top"/>
      <protection hidden="1"/>
    </xf>
    <xf numFmtId="0" fontId="0" fillId="0" borderId="29" xfId="0" applyNumberFormat="1" applyBorder="1" applyAlignment="1" applyProtection="1">
      <alignment vertical="top"/>
      <protection hidden="1"/>
    </xf>
    <xf numFmtId="4" fontId="0" fillId="0" borderId="70" xfId="0" applyNumberFormat="1" applyFill="1" applyBorder="1" applyAlignment="1" applyProtection="1">
      <alignment vertical="top"/>
      <protection hidden="1"/>
    </xf>
    <xf numFmtId="4" fontId="0" fillId="0" borderId="90" xfId="0" applyNumberFormat="1" applyFill="1" applyBorder="1" applyAlignment="1" applyProtection="1">
      <alignment vertical="top"/>
      <protection hidden="1"/>
    </xf>
    <xf numFmtId="4" fontId="0" fillId="0" borderId="71" xfId="0" applyNumberFormat="1" applyFill="1" applyBorder="1" applyAlignment="1" applyProtection="1">
      <alignment vertical="top"/>
      <protection hidden="1"/>
    </xf>
    <xf numFmtId="4" fontId="0" fillId="0" borderId="50" xfId="0" applyNumberFormat="1" applyFill="1" applyBorder="1" applyAlignment="1" applyProtection="1">
      <alignment vertical="top"/>
      <protection hidden="1"/>
    </xf>
    <xf numFmtId="4" fontId="0" fillId="0" borderId="51" xfId="0" applyNumberFormat="1" applyFill="1" applyBorder="1" applyAlignment="1" applyProtection="1">
      <alignment vertical="top"/>
      <protection hidden="1"/>
    </xf>
    <xf numFmtId="4" fontId="0" fillId="0" borderId="52" xfId="0" applyNumberFormat="1" applyFill="1" applyBorder="1" applyAlignment="1" applyProtection="1">
      <alignment vertical="top"/>
      <protection hidden="1"/>
    </xf>
    <xf numFmtId="4" fontId="0" fillId="0" borderId="42" xfId="0" applyNumberFormat="1" applyFill="1" applyBorder="1" applyAlignment="1" applyProtection="1">
      <alignment vertical="top"/>
      <protection hidden="1"/>
    </xf>
    <xf numFmtId="4" fontId="0" fillId="0" borderId="43" xfId="0" applyNumberFormat="1" applyFill="1" applyBorder="1" applyAlignment="1" applyProtection="1">
      <alignment vertical="top"/>
      <protection hidden="1"/>
    </xf>
    <xf numFmtId="4" fontId="0" fillId="0" borderId="44" xfId="0" applyNumberFormat="1" applyFill="1" applyBorder="1" applyAlignment="1" applyProtection="1">
      <alignment vertical="top"/>
      <protection hidden="1"/>
    </xf>
    <xf numFmtId="4" fontId="0" fillId="0" borderId="46" xfId="0" applyNumberFormat="1" applyFill="1" applyBorder="1" applyAlignment="1" applyProtection="1">
      <alignment vertical="top"/>
      <protection hidden="1"/>
    </xf>
    <xf numFmtId="4" fontId="0" fillId="0" borderId="35" xfId="0" applyNumberFormat="1" applyFill="1" applyBorder="1" applyAlignment="1" applyProtection="1">
      <alignment vertical="top"/>
      <protection hidden="1"/>
    </xf>
    <xf numFmtId="4" fontId="0" fillId="0" borderId="47" xfId="0" applyNumberFormat="1" applyFill="1" applyBorder="1" applyAlignment="1" applyProtection="1">
      <alignment vertical="top"/>
      <protection hidden="1"/>
    </xf>
    <xf numFmtId="1" fontId="2" fillId="0" borderId="55" xfId="0" applyNumberFormat="1" applyFont="1" applyFill="1" applyBorder="1" applyAlignment="1" applyProtection="1">
      <alignment vertical="top" wrapText="1"/>
      <protection hidden="1"/>
    </xf>
    <xf numFmtId="0" fontId="2" fillId="0" borderId="55" xfId="0" applyFont="1" applyFill="1" applyBorder="1" applyAlignment="1" applyProtection="1">
      <alignment vertical="top" wrapText="1"/>
      <protection hidden="1"/>
    </xf>
    <xf numFmtId="0" fontId="2" fillId="0" borderId="109" xfId="0" applyFont="1" applyFill="1" applyBorder="1" applyAlignment="1" applyProtection="1">
      <alignment vertical="top" wrapText="1"/>
      <protection hidden="1"/>
    </xf>
    <xf numFmtId="0" fontId="2" fillId="0" borderId="61" xfId="0" applyFont="1" applyFill="1" applyBorder="1" applyAlignment="1" applyProtection="1">
      <alignment vertical="top" wrapText="1"/>
      <protection hidden="1"/>
    </xf>
    <xf numFmtId="0" fontId="2" fillId="0" borderId="108" xfId="0" applyFont="1" applyFill="1" applyBorder="1" applyAlignment="1" applyProtection="1">
      <alignment vertical="top" wrapText="1"/>
      <protection hidden="1"/>
    </xf>
    <xf numFmtId="1" fontId="2" fillId="0" borderId="0" xfId="0" applyNumberFormat="1" applyFont="1" applyFill="1" applyBorder="1" applyAlignment="1" applyProtection="1">
      <alignment vertical="top" wrapText="1"/>
      <protection hidden="1"/>
    </xf>
    <xf numFmtId="0" fontId="2" fillId="0" borderId="0" xfId="0" applyFont="1" applyFill="1" applyAlignment="1" applyProtection="1">
      <alignment vertical="top" wrapText="1"/>
      <protection hidden="1"/>
    </xf>
    <xf numFmtId="0" fontId="2" fillId="0" borderId="11" xfId="0" applyFont="1" applyFill="1" applyBorder="1" applyAlignment="1" applyProtection="1">
      <alignment vertical="top" wrapText="1"/>
      <protection hidden="1"/>
    </xf>
    <xf numFmtId="0" fontId="2" fillId="0" borderId="14" xfId="0" applyFont="1" applyFill="1" applyBorder="1" applyAlignment="1" applyProtection="1">
      <alignment vertical="top" wrapText="1"/>
      <protection hidden="1"/>
    </xf>
    <xf numFmtId="0" fontId="2" fillId="0" borderId="15" xfId="0" applyFont="1" applyFill="1" applyBorder="1" applyAlignment="1" applyProtection="1">
      <alignment vertical="top" wrapText="1"/>
      <protection hidden="1"/>
    </xf>
    <xf numFmtId="0" fontId="1" fillId="0" borderId="28" xfId="0" applyFont="1" applyFill="1" applyBorder="1" applyAlignment="1" applyProtection="1">
      <alignment vertical="top"/>
      <protection hidden="1"/>
    </xf>
    <xf numFmtId="0" fontId="1" fillId="0" borderId="29" xfId="0" applyFont="1" applyFill="1" applyBorder="1" applyAlignment="1" applyProtection="1">
      <alignment vertical="top"/>
      <protection hidden="1"/>
    </xf>
    <xf numFmtId="14" fontId="1" fillId="0" borderId="107" xfId="0" applyNumberFormat="1" applyFont="1" applyFill="1" applyBorder="1" applyAlignment="1" applyProtection="1">
      <alignment vertical="top"/>
      <protection hidden="1"/>
    </xf>
    <xf numFmtId="0" fontId="1" fillId="0" borderId="101" xfId="0" applyFont="1" applyFill="1" applyBorder="1" applyAlignment="1" applyProtection="1">
      <alignment vertical="top"/>
      <protection hidden="1"/>
    </xf>
    <xf numFmtId="1" fontId="2" fillId="0" borderId="24" xfId="0" applyNumberFormat="1" applyFont="1" applyFill="1" applyBorder="1" applyAlignment="1" applyProtection="1">
      <alignment vertical="top" wrapText="1"/>
      <protection hidden="1"/>
    </xf>
    <xf numFmtId="0" fontId="2" fillId="0" borderId="24" xfId="0" applyFont="1" applyFill="1" applyBorder="1" applyAlignment="1" applyProtection="1">
      <alignment vertical="top" wrapText="1"/>
      <protection hidden="1"/>
    </xf>
    <xf numFmtId="0" fontId="2" fillId="0" borderId="68" xfId="0" applyFont="1" applyFill="1" applyBorder="1" applyAlignment="1" applyProtection="1">
      <alignment vertical="top" wrapText="1"/>
      <protection hidden="1"/>
    </xf>
    <xf numFmtId="0" fontId="1" fillId="0" borderId="1" xfId="0" applyFont="1" applyFill="1" applyBorder="1" applyAlignment="1" applyProtection="1">
      <alignment vertical="top"/>
      <protection hidden="1"/>
    </xf>
    <xf numFmtId="0" fontId="2" fillId="0" borderId="1" xfId="0" applyFont="1" applyFill="1" applyBorder="1" applyAlignment="1" applyProtection="1">
      <alignment vertical="top"/>
      <protection hidden="1"/>
    </xf>
    <xf numFmtId="0" fontId="1" fillId="0" borderId="24" xfId="0" applyFont="1" applyFill="1" applyBorder="1" applyAlignment="1" applyProtection="1">
      <alignment vertical="top"/>
      <protection hidden="1"/>
    </xf>
    <xf numFmtId="0" fontId="2" fillId="0" borderId="24" xfId="0" applyFont="1" applyFill="1" applyBorder="1" applyAlignment="1" applyProtection="1">
      <alignment vertical="top"/>
      <protection hidden="1"/>
    </xf>
    <xf numFmtId="0" fontId="1" fillId="0" borderId="125" xfId="0" applyFont="1" applyFill="1" applyBorder="1" applyAlignment="1" applyProtection="1">
      <alignment vertical="top"/>
      <protection hidden="1"/>
    </xf>
    <xf numFmtId="0" fontId="1" fillId="0" borderId="126" xfId="0" applyFont="1" applyBorder="1" applyAlignment="1">
      <alignment vertical="top"/>
    </xf>
    <xf numFmtId="0" fontId="1" fillId="0" borderId="103" xfId="0" applyFont="1" applyFill="1" applyBorder="1" applyAlignment="1" applyProtection="1">
      <alignment vertical="top"/>
      <protection hidden="1"/>
    </xf>
    <xf numFmtId="0" fontId="1" fillId="0" borderId="35" xfId="0" applyFont="1" applyBorder="1" applyAlignment="1" applyProtection="1">
      <alignment vertical="top"/>
      <protection hidden="1"/>
    </xf>
    <xf numFmtId="0" fontId="1" fillId="0" borderId="86" xfId="0" applyFont="1" applyFill="1" applyBorder="1" applyAlignment="1" applyProtection="1">
      <alignment vertical="top"/>
      <protection hidden="1"/>
    </xf>
    <xf numFmtId="0" fontId="1" fillId="0" borderId="50" xfId="0" applyFont="1" applyBorder="1" applyAlignment="1" applyProtection="1">
      <alignment vertical="top"/>
      <protection hidden="1"/>
    </xf>
    <xf numFmtId="0" fontId="1" fillId="0" borderId="110" xfId="0" applyFont="1" applyFill="1" applyBorder="1" applyAlignment="1" applyProtection="1">
      <alignment vertical="top"/>
      <protection hidden="1"/>
    </xf>
    <xf numFmtId="0" fontId="1" fillId="0" borderId="70" xfId="0" applyFont="1" applyBorder="1" applyAlignment="1" applyProtection="1">
      <alignment vertical="top"/>
      <protection hidden="1"/>
    </xf>
    <xf numFmtId="0" fontId="1" fillId="0" borderId="82" xfId="0" applyFont="1" applyFill="1" applyBorder="1" applyAlignment="1" applyProtection="1">
      <alignment vertical="top"/>
      <protection hidden="1"/>
    </xf>
    <xf numFmtId="0" fontId="2" fillId="0" borderId="38" xfId="0" applyFont="1" applyFill="1" applyBorder="1" applyAlignment="1" applyProtection="1">
      <alignment vertical="top"/>
      <protection hidden="1"/>
    </xf>
  </cellXfs>
  <cellStyles count="2">
    <cellStyle name="Standard" xfId="0" builtinId="0"/>
    <cellStyle name="Standard 2" xfId="1" xr:uid="{00000000-0005-0000-0000-000001000000}"/>
  </cellStyles>
  <dxfs count="30">
    <dxf>
      <font>
        <b val="0"/>
        <i val="0"/>
        <condense val="0"/>
        <extend val="0"/>
        <color indexed="55"/>
      </font>
    </dxf>
    <dxf>
      <font>
        <b val="0"/>
        <i val="0"/>
        <condense val="0"/>
        <extend val="0"/>
        <color indexed="55"/>
      </font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strike val="0"/>
        <color rgb="FFFF000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strike val="0"/>
        <color indexed="12"/>
      </font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strike val="0"/>
        <color indexed="12"/>
      </font>
    </dxf>
    <dxf>
      <font>
        <strike val="0"/>
        <color indexed="12"/>
      </font>
    </dxf>
    <dxf>
      <font>
        <strike val="0"/>
        <color indexed="12"/>
      </font>
    </dxf>
    <dxf>
      <font>
        <strike val="0"/>
        <color indexed="12"/>
      </font>
    </dxf>
    <dxf>
      <font>
        <b/>
        <i val="0"/>
        <strike val="0"/>
        <color rgb="FFFF000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lor rgb="FFFF000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969696"/>
      </font>
    </dxf>
    <dxf>
      <font>
        <b/>
        <i val="0"/>
        <strike val="0"/>
        <color rgb="FFFF000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lor rgb="FFFF000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lor rgb="FFFF000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strike val="0"/>
        <color indexed="55"/>
      </font>
    </dxf>
    <dxf>
      <font>
        <b val="0"/>
        <i val="0"/>
        <strike val="0"/>
        <color indexed="55"/>
      </font>
    </dxf>
    <dxf>
      <font>
        <b/>
        <i val="0"/>
        <strike val="0"/>
        <color rgb="FFFF000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strike val="0"/>
        <color rgb="FFFF0000"/>
      </font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</dxfs>
  <tableStyles count="0" defaultTableStyle="TableStyleMedium2" defaultPivotStyle="PivotStyleLight16"/>
  <colors>
    <mruColors>
      <color rgb="FF0000FF"/>
      <color rgb="FF008000"/>
      <color rgb="FF969696"/>
      <color rgb="FFFF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fmlaLink="Prozesskostenrechner!M30" lockText="1" noThreeD="1"/>
</file>

<file path=xl/ctrlProps/ctrlProp100.xml><?xml version="1.0" encoding="utf-8"?>
<formControlPr xmlns="http://schemas.microsoft.com/office/spreadsheetml/2009/9/main" objectType="CheckBox" fmlaLink="Kostenquotenrechner!BG13" lockText="1" noThreeD="1"/>
</file>

<file path=xl/ctrlProps/ctrlProp101.xml><?xml version="1.0" encoding="utf-8"?>
<formControlPr xmlns="http://schemas.microsoft.com/office/spreadsheetml/2009/9/main" objectType="CheckBox" fmlaLink="Kostenquotenrechner!BH13" lockText="1" noThreeD="1"/>
</file>

<file path=xl/ctrlProps/ctrlProp102.xml><?xml version="1.0" encoding="utf-8"?>
<formControlPr xmlns="http://schemas.microsoft.com/office/spreadsheetml/2009/9/main" objectType="CheckBox" fmlaLink="Kostenquotenrechner!BI13" lockText="1" noThreeD="1"/>
</file>

<file path=xl/ctrlProps/ctrlProp103.xml><?xml version="1.0" encoding="utf-8"?>
<formControlPr xmlns="http://schemas.microsoft.com/office/spreadsheetml/2009/9/main" objectType="CheckBox" fmlaLink="Kostenquotenrechner!AV14" lockText="1" noThreeD="1"/>
</file>

<file path=xl/ctrlProps/ctrlProp104.xml><?xml version="1.0" encoding="utf-8"?>
<formControlPr xmlns="http://schemas.microsoft.com/office/spreadsheetml/2009/9/main" objectType="CheckBox" fmlaLink="Kostenquotenrechner!AW14" lockText="1" noThreeD="1"/>
</file>

<file path=xl/ctrlProps/ctrlProp105.xml><?xml version="1.0" encoding="utf-8"?>
<formControlPr xmlns="http://schemas.microsoft.com/office/spreadsheetml/2009/9/main" objectType="CheckBox" fmlaLink="Kostenquotenrechner!AX14" lockText="1" noThreeD="1"/>
</file>

<file path=xl/ctrlProps/ctrlProp106.xml><?xml version="1.0" encoding="utf-8"?>
<formControlPr xmlns="http://schemas.microsoft.com/office/spreadsheetml/2009/9/main" objectType="CheckBox" fmlaLink="Kostenquotenrechner!AY14" lockText="1" noThreeD="1"/>
</file>

<file path=xl/ctrlProps/ctrlProp107.xml><?xml version="1.0" encoding="utf-8"?>
<formControlPr xmlns="http://schemas.microsoft.com/office/spreadsheetml/2009/9/main" objectType="CheckBox" fmlaLink="Kostenquotenrechner!AZ14" lockText="1" noThreeD="1"/>
</file>

<file path=xl/ctrlProps/ctrlProp108.xml><?xml version="1.0" encoding="utf-8"?>
<formControlPr xmlns="http://schemas.microsoft.com/office/spreadsheetml/2009/9/main" objectType="CheckBox" fmlaLink="Kostenquotenrechner!BA14" lockText="1" noThreeD="1"/>
</file>

<file path=xl/ctrlProps/ctrlProp109.xml><?xml version="1.0" encoding="utf-8"?>
<formControlPr xmlns="http://schemas.microsoft.com/office/spreadsheetml/2009/9/main" objectType="CheckBox" fmlaLink="Kostenquotenrechner!BF14" lockText="1" noThreeD="1"/>
</file>

<file path=xl/ctrlProps/ctrlProp11.xml><?xml version="1.0" encoding="utf-8"?>
<formControlPr xmlns="http://schemas.microsoft.com/office/spreadsheetml/2009/9/main" objectType="CheckBox" fmlaLink="Prozesskostenrechner!M31" lockText="1" noThreeD="1"/>
</file>

<file path=xl/ctrlProps/ctrlProp110.xml><?xml version="1.0" encoding="utf-8"?>
<formControlPr xmlns="http://schemas.microsoft.com/office/spreadsheetml/2009/9/main" objectType="CheckBox" fmlaLink="Kostenquotenrechner!BG14" lockText="1" noThreeD="1"/>
</file>

<file path=xl/ctrlProps/ctrlProp111.xml><?xml version="1.0" encoding="utf-8"?>
<formControlPr xmlns="http://schemas.microsoft.com/office/spreadsheetml/2009/9/main" objectType="CheckBox" fmlaLink="Kostenquotenrechner!BH14" lockText="1" noThreeD="1"/>
</file>

<file path=xl/ctrlProps/ctrlProp112.xml><?xml version="1.0" encoding="utf-8"?>
<formControlPr xmlns="http://schemas.microsoft.com/office/spreadsheetml/2009/9/main" objectType="CheckBox" fmlaLink="Kostenquotenrechner!BI14" lockText="1" noThreeD="1"/>
</file>

<file path=xl/ctrlProps/ctrlProp113.xml><?xml version="1.0" encoding="utf-8"?>
<formControlPr xmlns="http://schemas.microsoft.com/office/spreadsheetml/2009/9/main" objectType="CheckBox" fmlaLink="Kostenquotenrechner!AV15" lockText="1" noThreeD="1"/>
</file>

<file path=xl/ctrlProps/ctrlProp114.xml><?xml version="1.0" encoding="utf-8"?>
<formControlPr xmlns="http://schemas.microsoft.com/office/spreadsheetml/2009/9/main" objectType="CheckBox" fmlaLink="Kostenquotenrechner!AW15" lockText="1" noThreeD="1"/>
</file>

<file path=xl/ctrlProps/ctrlProp115.xml><?xml version="1.0" encoding="utf-8"?>
<formControlPr xmlns="http://schemas.microsoft.com/office/spreadsheetml/2009/9/main" objectType="CheckBox" fmlaLink="Kostenquotenrechner!AX15" lockText="1" noThreeD="1"/>
</file>

<file path=xl/ctrlProps/ctrlProp116.xml><?xml version="1.0" encoding="utf-8"?>
<formControlPr xmlns="http://schemas.microsoft.com/office/spreadsheetml/2009/9/main" objectType="CheckBox" fmlaLink="Kostenquotenrechner!AY15" lockText="1" noThreeD="1"/>
</file>

<file path=xl/ctrlProps/ctrlProp117.xml><?xml version="1.0" encoding="utf-8"?>
<formControlPr xmlns="http://schemas.microsoft.com/office/spreadsheetml/2009/9/main" objectType="CheckBox" fmlaLink="Kostenquotenrechner!AZ15" lockText="1" noThreeD="1"/>
</file>

<file path=xl/ctrlProps/ctrlProp118.xml><?xml version="1.0" encoding="utf-8"?>
<formControlPr xmlns="http://schemas.microsoft.com/office/spreadsheetml/2009/9/main" objectType="CheckBox" fmlaLink="Kostenquotenrechner!BA15" lockText="1" noThreeD="1"/>
</file>

<file path=xl/ctrlProps/ctrlProp119.xml><?xml version="1.0" encoding="utf-8"?>
<formControlPr xmlns="http://schemas.microsoft.com/office/spreadsheetml/2009/9/main" objectType="CheckBox" fmlaLink="Kostenquotenrechner!BF15" lockText="1" noThreeD="1"/>
</file>

<file path=xl/ctrlProps/ctrlProp12.xml><?xml version="1.0" encoding="utf-8"?>
<formControlPr xmlns="http://schemas.microsoft.com/office/spreadsheetml/2009/9/main" objectType="CheckBox" fmlaLink="Prozesskostenrechner!M33" lockText="1" noThreeD="1"/>
</file>

<file path=xl/ctrlProps/ctrlProp120.xml><?xml version="1.0" encoding="utf-8"?>
<formControlPr xmlns="http://schemas.microsoft.com/office/spreadsheetml/2009/9/main" objectType="CheckBox" fmlaLink="Kostenquotenrechner!BG15" lockText="1" noThreeD="1"/>
</file>

<file path=xl/ctrlProps/ctrlProp121.xml><?xml version="1.0" encoding="utf-8"?>
<formControlPr xmlns="http://schemas.microsoft.com/office/spreadsheetml/2009/9/main" objectType="CheckBox" fmlaLink="Kostenquotenrechner!BH15" lockText="1" noThreeD="1"/>
</file>

<file path=xl/ctrlProps/ctrlProp122.xml><?xml version="1.0" encoding="utf-8"?>
<formControlPr xmlns="http://schemas.microsoft.com/office/spreadsheetml/2009/9/main" objectType="CheckBox" fmlaLink="Kostenquotenrechner!BI15" lockText="1" noThreeD="1"/>
</file>

<file path=xl/ctrlProps/ctrlProp123.xml><?xml version="1.0" encoding="utf-8"?>
<formControlPr xmlns="http://schemas.microsoft.com/office/spreadsheetml/2009/9/main" objectType="CheckBox" fmlaLink="Kostenquotenrechner!AX18" lockText="1" noThreeD="1"/>
</file>

<file path=xl/ctrlProps/ctrlProp124.xml><?xml version="1.0" encoding="utf-8"?>
<formControlPr xmlns="http://schemas.microsoft.com/office/spreadsheetml/2009/9/main" objectType="CheckBox" fmlaLink="Kostenquotenrechner!AY18" lockText="1" noThreeD="1"/>
</file>

<file path=xl/ctrlProps/ctrlProp125.xml><?xml version="1.0" encoding="utf-8"?>
<formControlPr xmlns="http://schemas.microsoft.com/office/spreadsheetml/2009/9/main" objectType="CheckBox" fmlaLink="Kostenquotenrechner!AZ18" lockText="1" noThreeD="1"/>
</file>

<file path=xl/ctrlProps/ctrlProp126.xml><?xml version="1.0" encoding="utf-8"?>
<formControlPr xmlns="http://schemas.microsoft.com/office/spreadsheetml/2009/9/main" objectType="CheckBox" fmlaLink="Kostenquotenrechner!BA18" lockText="1" noThreeD="1"/>
</file>

<file path=xl/ctrlProps/ctrlProp127.xml><?xml version="1.0" encoding="utf-8"?>
<formControlPr xmlns="http://schemas.microsoft.com/office/spreadsheetml/2009/9/main" objectType="CheckBox" fmlaLink="Kostenquotenrechner!BB18" lockText="1" noThreeD="1"/>
</file>

<file path=xl/ctrlProps/ctrlProp128.xml><?xml version="1.0" encoding="utf-8"?>
<formControlPr xmlns="http://schemas.microsoft.com/office/spreadsheetml/2009/9/main" objectType="CheckBox" fmlaLink="Kostenquotenrechner!BC18" lockText="1" noThreeD="1"/>
</file>

<file path=xl/ctrlProps/ctrlProp129.xml><?xml version="1.0" encoding="utf-8"?>
<formControlPr xmlns="http://schemas.microsoft.com/office/spreadsheetml/2009/9/main" objectType="CheckBox" fmlaLink="Kostenquotenrechner!BD18" lockText="1" noThreeD="1"/>
</file>

<file path=xl/ctrlProps/ctrlProp13.xml><?xml version="1.0" encoding="utf-8"?>
<formControlPr xmlns="http://schemas.microsoft.com/office/spreadsheetml/2009/9/main" objectType="CheckBox" fmlaLink="Prozesskostenrechner!M34" lockText="1" noThreeD="1"/>
</file>

<file path=xl/ctrlProps/ctrlProp130.xml><?xml version="1.0" encoding="utf-8"?>
<formControlPr xmlns="http://schemas.microsoft.com/office/spreadsheetml/2009/9/main" objectType="CheckBox" fmlaLink="Kostenquotenrechner!BE18" lockText="1" noThreeD="1"/>
</file>

<file path=xl/ctrlProps/ctrlProp131.xml><?xml version="1.0" encoding="utf-8"?>
<formControlPr xmlns="http://schemas.microsoft.com/office/spreadsheetml/2009/9/main" objectType="CheckBox" fmlaLink="Kostenquotenrechner!BF18" lockText="1" noThreeD="1"/>
</file>

<file path=xl/ctrlProps/ctrlProp132.xml><?xml version="1.0" encoding="utf-8"?>
<formControlPr xmlns="http://schemas.microsoft.com/office/spreadsheetml/2009/9/main" objectType="CheckBox" fmlaLink="Kostenquotenrechner!BG18" lockText="1" noThreeD="1"/>
</file>

<file path=xl/ctrlProps/ctrlProp133.xml><?xml version="1.0" encoding="utf-8"?>
<formControlPr xmlns="http://schemas.microsoft.com/office/spreadsheetml/2009/9/main" objectType="CheckBox" fmlaLink="Kostenquotenrechner!BH18" lockText="1" noThreeD="1"/>
</file>

<file path=xl/ctrlProps/ctrlProp134.xml><?xml version="1.0" encoding="utf-8"?>
<formControlPr xmlns="http://schemas.microsoft.com/office/spreadsheetml/2009/9/main" objectType="CheckBox" fmlaLink="Kostenquotenrechner!BI18" lockText="1" noThreeD="1"/>
</file>

<file path=xl/ctrlProps/ctrlProp135.xml><?xml version="1.0" encoding="utf-8"?>
<formControlPr xmlns="http://schemas.microsoft.com/office/spreadsheetml/2009/9/main" objectType="CheckBox" fmlaLink="Kostenquotenrechner!AX19" lockText="1" noThreeD="1"/>
</file>

<file path=xl/ctrlProps/ctrlProp136.xml><?xml version="1.0" encoding="utf-8"?>
<formControlPr xmlns="http://schemas.microsoft.com/office/spreadsheetml/2009/9/main" objectType="CheckBox" fmlaLink="Kostenquotenrechner!AY19" lockText="1" noThreeD="1"/>
</file>

<file path=xl/ctrlProps/ctrlProp137.xml><?xml version="1.0" encoding="utf-8"?>
<formControlPr xmlns="http://schemas.microsoft.com/office/spreadsheetml/2009/9/main" objectType="CheckBox" fmlaLink="Kostenquotenrechner!AZ19" lockText="1" noThreeD="1"/>
</file>

<file path=xl/ctrlProps/ctrlProp138.xml><?xml version="1.0" encoding="utf-8"?>
<formControlPr xmlns="http://schemas.microsoft.com/office/spreadsheetml/2009/9/main" objectType="CheckBox" fmlaLink="Kostenquotenrechner!BA19" lockText="1" noThreeD="1"/>
</file>

<file path=xl/ctrlProps/ctrlProp139.xml><?xml version="1.0" encoding="utf-8"?>
<formControlPr xmlns="http://schemas.microsoft.com/office/spreadsheetml/2009/9/main" objectType="CheckBox" fmlaLink="Kostenquotenrechner!BB19" lockText="1" noThreeD="1"/>
</file>

<file path=xl/ctrlProps/ctrlProp14.xml><?xml version="1.0" encoding="utf-8"?>
<formControlPr xmlns="http://schemas.microsoft.com/office/spreadsheetml/2009/9/main" objectType="CheckBox" fmlaLink="Prozesskostenrechner!M35" lockText="1" noThreeD="1"/>
</file>

<file path=xl/ctrlProps/ctrlProp140.xml><?xml version="1.0" encoding="utf-8"?>
<formControlPr xmlns="http://schemas.microsoft.com/office/spreadsheetml/2009/9/main" objectType="CheckBox" fmlaLink="Kostenquotenrechner!BC19" lockText="1" noThreeD="1"/>
</file>

<file path=xl/ctrlProps/ctrlProp141.xml><?xml version="1.0" encoding="utf-8"?>
<formControlPr xmlns="http://schemas.microsoft.com/office/spreadsheetml/2009/9/main" objectType="CheckBox" fmlaLink="Kostenquotenrechner!BD19" lockText="1" noThreeD="1"/>
</file>

<file path=xl/ctrlProps/ctrlProp142.xml><?xml version="1.0" encoding="utf-8"?>
<formControlPr xmlns="http://schemas.microsoft.com/office/spreadsheetml/2009/9/main" objectType="CheckBox" fmlaLink="Kostenquotenrechner!BE19" lockText="1" noThreeD="1"/>
</file>

<file path=xl/ctrlProps/ctrlProp143.xml><?xml version="1.0" encoding="utf-8"?>
<formControlPr xmlns="http://schemas.microsoft.com/office/spreadsheetml/2009/9/main" objectType="CheckBox" fmlaLink="Kostenquotenrechner!BF19" lockText="1" noThreeD="1"/>
</file>

<file path=xl/ctrlProps/ctrlProp144.xml><?xml version="1.0" encoding="utf-8"?>
<formControlPr xmlns="http://schemas.microsoft.com/office/spreadsheetml/2009/9/main" objectType="CheckBox" fmlaLink="Kostenquotenrechner!BG19" lockText="1" noThreeD="1"/>
</file>

<file path=xl/ctrlProps/ctrlProp145.xml><?xml version="1.0" encoding="utf-8"?>
<formControlPr xmlns="http://schemas.microsoft.com/office/spreadsheetml/2009/9/main" objectType="CheckBox" fmlaLink="Kostenquotenrechner!BH19" lockText="1" noThreeD="1"/>
</file>

<file path=xl/ctrlProps/ctrlProp146.xml><?xml version="1.0" encoding="utf-8"?>
<formControlPr xmlns="http://schemas.microsoft.com/office/spreadsheetml/2009/9/main" objectType="CheckBox" fmlaLink="Kostenquotenrechner!BI19" lockText="1" noThreeD="1"/>
</file>

<file path=xl/ctrlProps/ctrlProp147.xml><?xml version="1.0" encoding="utf-8"?>
<formControlPr xmlns="http://schemas.microsoft.com/office/spreadsheetml/2009/9/main" objectType="CheckBox" fmlaLink="Kostenquotenrechner!AX20" lockText="1" noThreeD="1"/>
</file>

<file path=xl/ctrlProps/ctrlProp148.xml><?xml version="1.0" encoding="utf-8"?>
<formControlPr xmlns="http://schemas.microsoft.com/office/spreadsheetml/2009/9/main" objectType="CheckBox" fmlaLink="Kostenquotenrechner!AY20" lockText="1" noThreeD="1"/>
</file>

<file path=xl/ctrlProps/ctrlProp149.xml><?xml version="1.0" encoding="utf-8"?>
<formControlPr xmlns="http://schemas.microsoft.com/office/spreadsheetml/2009/9/main" objectType="CheckBox" fmlaLink="Kostenquotenrechner!AZ20" lockText="1" noThreeD="1"/>
</file>

<file path=xl/ctrlProps/ctrlProp15.xml><?xml version="1.0" encoding="utf-8"?>
<formControlPr xmlns="http://schemas.microsoft.com/office/spreadsheetml/2009/9/main" objectType="CheckBox" fmlaLink="Prozesskostenrechner!M36" lockText="1" noThreeD="1"/>
</file>

<file path=xl/ctrlProps/ctrlProp150.xml><?xml version="1.0" encoding="utf-8"?>
<formControlPr xmlns="http://schemas.microsoft.com/office/spreadsheetml/2009/9/main" objectType="CheckBox" fmlaLink="Kostenquotenrechner!BA20" lockText="1" noThreeD="1"/>
</file>

<file path=xl/ctrlProps/ctrlProp151.xml><?xml version="1.0" encoding="utf-8"?>
<formControlPr xmlns="http://schemas.microsoft.com/office/spreadsheetml/2009/9/main" objectType="CheckBox" fmlaLink="Kostenquotenrechner!BB20" lockText="1" noThreeD="1"/>
</file>

<file path=xl/ctrlProps/ctrlProp152.xml><?xml version="1.0" encoding="utf-8"?>
<formControlPr xmlns="http://schemas.microsoft.com/office/spreadsheetml/2009/9/main" objectType="CheckBox" fmlaLink="Kostenquotenrechner!BC20" lockText="1" noThreeD="1"/>
</file>

<file path=xl/ctrlProps/ctrlProp153.xml><?xml version="1.0" encoding="utf-8"?>
<formControlPr xmlns="http://schemas.microsoft.com/office/spreadsheetml/2009/9/main" objectType="CheckBox" fmlaLink="Kostenquotenrechner!BD20" lockText="1" noThreeD="1"/>
</file>

<file path=xl/ctrlProps/ctrlProp154.xml><?xml version="1.0" encoding="utf-8"?>
<formControlPr xmlns="http://schemas.microsoft.com/office/spreadsheetml/2009/9/main" objectType="CheckBox" fmlaLink="Kostenquotenrechner!BE20" lockText="1" noThreeD="1"/>
</file>

<file path=xl/ctrlProps/ctrlProp155.xml><?xml version="1.0" encoding="utf-8"?>
<formControlPr xmlns="http://schemas.microsoft.com/office/spreadsheetml/2009/9/main" objectType="CheckBox" fmlaLink="Kostenquotenrechner!BF20" lockText="1" noThreeD="1"/>
</file>

<file path=xl/ctrlProps/ctrlProp156.xml><?xml version="1.0" encoding="utf-8"?>
<formControlPr xmlns="http://schemas.microsoft.com/office/spreadsheetml/2009/9/main" objectType="CheckBox" fmlaLink="Kostenquotenrechner!BG20" lockText="1" noThreeD="1"/>
</file>

<file path=xl/ctrlProps/ctrlProp157.xml><?xml version="1.0" encoding="utf-8"?>
<formControlPr xmlns="http://schemas.microsoft.com/office/spreadsheetml/2009/9/main" objectType="CheckBox" fmlaLink="Kostenquotenrechner!BH20" lockText="1" noThreeD="1"/>
</file>

<file path=xl/ctrlProps/ctrlProp158.xml><?xml version="1.0" encoding="utf-8"?>
<formControlPr xmlns="http://schemas.microsoft.com/office/spreadsheetml/2009/9/main" objectType="CheckBox" fmlaLink="Kostenquotenrechner!BI20" lockText="1" noThreeD="1"/>
</file>

<file path=xl/ctrlProps/ctrlProp159.xml><?xml version="1.0" encoding="utf-8"?>
<formControlPr xmlns="http://schemas.microsoft.com/office/spreadsheetml/2009/9/main" objectType="CheckBox" fmlaLink="'PKH-VKH-Rechner'!P9" lockText="1" noThreeD="1"/>
</file>

<file path=xl/ctrlProps/ctrlProp16.xml><?xml version="1.0" encoding="utf-8"?>
<formControlPr xmlns="http://schemas.microsoft.com/office/spreadsheetml/2009/9/main" objectType="CheckBox" checked="Checked" fmlaLink="Prozesskostenrechner!M37" lockText="1" noThreeD="1"/>
</file>

<file path=xl/ctrlProps/ctrlProp160.xml><?xml version="1.0" encoding="utf-8"?>
<formControlPr xmlns="http://schemas.microsoft.com/office/spreadsheetml/2009/9/main" objectType="CheckBox" fmlaLink="'PKH-VKH-Rechner'!P15" lockText="1" noThreeD="1"/>
</file>

<file path=xl/ctrlProps/ctrlProp161.xml><?xml version="1.0" encoding="utf-8"?>
<formControlPr xmlns="http://schemas.microsoft.com/office/spreadsheetml/2009/9/main" objectType="CheckBox" fmlaLink="'PKH-VKH-Rechner'!P16" lockText="1" noThreeD="1"/>
</file>

<file path=xl/ctrlProps/ctrlProp162.xml><?xml version="1.0" encoding="utf-8"?>
<formControlPr xmlns="http://schemas.microsoft.com/office/spreadsheetml/2009/9/main" objectType="CheckBox" fmlaLink="'PKH-VKH-Rechner'!P17" lockText="1" noThreeD="1"/>
</file>

<file path=xl/ctrlProps/ctrlProp163.xml><?xml version="1.0" encoding="utf-8"?>
<formControlPr xmlns="http://schemas.microsoft.com/office/spreadsheetml/2009/9/main" objectType="CheckBox" fmlaLink="'PKH-VKH-Rechner'!P18" lockText="1" noThreeD="1"/>
</file>

<file path=xl/ctrlProps/ctrlProp164.xml><?xml version="1.0" encoding="utf-8"?>
<formControlPr xmlns="http://schemas.microsoft.com/office/spreadsheetml/2009/9/main" objectType="CheckBox" fmlaLink="'PKH-VKH-Rechner'!P19" lockText="1" noThreeD="1"/>
</file>

<file path=xl/ctrlProps/ctrlProp165.xml><?xml version="1.0" encoding="utf-8"?>
<formControlPr xmlns="http://schemas.microsoft.com/office/spreadsheetml/2009/9/main" objectType="CheckBox" fmlaLink="'PKH-VKH-Rechner'!P20" lockText="1" noThreeD="1"/>
</file>

<file path=xl/ctrlProps/ctrlProp166.xml><?xml version="1.0" encoding="utf-8"?>
<formControlPr xmlns="http://schemas.microsoft.com/office/spreadsheetml/2009/9/main" objectType="CheckBox" checked="Checked" fmlaLink="'PKH-VKH-Rechner'!P66" lockText="1" noThreeD="1"/>
</file>

<file path=xl/ctrlProps/ctrlProp167.xml><?xml version="1.0" encoding="utf-8"?>
<formControlPr xmlns="http://schemas.microsoft.com/office/spreadsheetml/2009/9/main" objectType="CheckBox" checked="Checked" fmlaLink="Fristenrechner!Z15" lockText="1" noThreeD="1"/>
</file>

<file path=xl/ctrlProps/ctrlProp168.xml><?xml version="1.0" encoding="utf-8"?>
<formControlPr xmlns="http://schemas.microsoft.com/office/spreadsheetml/2009/9/main" objectType="CheckBox" checked="Checked" fmlaLink="Fristenrechner!Z16" lockText="1" noThreeD="1"/>
</file>

<file path=xl/ctrlProps/ctrlProp169.xml><?xml version="1.0" encoding="utf-8"?>
<formControlPr xmlns="http://schemas.microsoft.com/office/spreadsheetml/2009/9/main" objectType="CheckBox" checked="Checked" fmlaLink="Fristenrechner!Z17" lockText="1" noThreeD="1"/>
</file>

<file path=xl/ctrlProps/ctrlProp17.xml><?xml version="1.0" encoding="utf-8"?>
<formControlPr xmlns="http://schemas.microsoft.com/office/spreadsheetml/2009/9/main" objectType="CheckBox" fmlaLink="Prozesskostenrechner!M38" lockText="1" noThreeD="1"/>
</file>

<file path=xl/ctrlProps/ctrlProp170.xml><?xml version="1.0" encoding="utf-8"?>
<formControlPr xmlns="http://schemas.microsoft.com/office/spreadsheetml/2009/9/main" objectType="CheckBox" fmlaLink="Fristenrechner!Z55" lockText="1" noThreeD="1"/>
</file>

<file path=xl/ctrlProps/ctrlProp171.xml><?xml version="1.0" encoding="utf-8"?>
<formControlPr xmlns="http://schemas.microsoft.com/office/spreadsheetml/2009/9/main" objectType="CheckBox" fmlaLink="Fristenrechner!AA55" lockText="1" noThreeD="1"/>
</file>

<file path=xl/ctrlProps/ctrlProp172.xml><?xml version="1.0" encoding="utf-8"?>
<formControlPr xmlns="http://schemas.microsoft.com/office/spreadsheetml/2009/9/main" objectType="CheckBox" fmlaLink="Fristenrechner!Z56" lockText="1" noThreeD="1"/>
</file>

<file path=xl/ctrlProps/ctrlProp173.xml><?xml version="1.0" encoding="utf-8"?>
<formControlPr xmlns="http://schemas.microsoft.com/office/spreadsheetml/2009/9/main" objectType="CheckBox" fmlaLink="Fristenrechner!AA56" lockText="1" noThreeD="1"/>
</file>

<file path=xl/ctrlProps/ctrlProp174.xml><?xml version="1.0" encoding="utf-8"?>
<formControlPr xmlns="http://schemas.microsoft.com/office/spreadsheetml/2009/9/main" objectType="CheckBox" fmlaLink="Fristenrechner!Z57" lockText="1" noThreeD="1"/>
</file>

<file path=xl/ctrlProps/ctrlProp175.xml><?xml version="1.0" encoding="utf-8"?>
<formControlPr xmlns="http://schemas.microsoft.com/office/spreadsheetml/2009/9/main" objectType="CheckBox" fmlaLink="Fristenrechner!AA57" lockText="1" noThreeD="1"/>
</file>

<file path=xl/ctrlProps/ctrlProp176.xml><?xml version="1.0" encoding="utf-8"?>
<formControlPr xmlns="http://schemas.microsoft.com/office/spreadsheetml/2009/9/main" objectType="CheckBox" fmlaLink="Fristenrechner!Z59" lockText="1" noThreeD="1"/>
</file>

<file path=xl/ctrlProps/ctrlProp177.xml><?xml version="1.0" encoding="utf-8"?>
<formControlPr xmlns="http://schemas.microsoft.com/office/spreadsheetml/2009/9/main" objectType="CheckBox" fmlaLink="Fristenrechner!AA59" lockText="1" noThreeD="1"/>
</file>

<file path=xl/ctrlProps/ctrlProp178.xml><?xml version="1.0" encoding="utf-8"?>
<formControlPr xmlns="http://schemas.microsoft.com/office/spreadsheetml/2009/9/main" objectType="CheckBox" fmlaLink="Fristenrechner!Z60" lockText="1" noThreeD="1"/>
</file>

<file path=xl/ctrlProps/ctrlProp179.xml><?xml version="1.0" encoding="utf-8"?>
<formControlPr xmlns="http://schemas.microsoft.com/office/spreadsheetml/2009/9/main" objectType="CheckBox" fmlaLink="Fristenrechner!AA60" lockText="1" noThreeD="1"/>
</file>

<file path=xl/ctrlProps/ctrlProp18.xml><?xml version="1.0" encoding="utf-8"?>
<formControlPr xmlns="http://schemas.microsoft.com/office/spreadsheetml/2009/9/main" objectType="CheckBox" fmlaLink="Prozesskostenrechner!M39" lockText="1" noThreeD="1"/>
</file>

<file path=xl/ctrlProps/ctrlProp180.xml><?xml version="1.0" encoding="utf-8"?>
<formControlPr xmlns="http://schemas.microsoft.com/office/spreadsheetml/2009/9/main" objectType="CheckBox" fmlaLink="Fristenrechner!Z61" lockText="1" noThreeD="1"/>
</file>

<file path=xl/ctrlProps/ctrlProp181.xml><?xml version="1.0" encoding="utf-8"?>
<formControlPr xmlns="http://schemas.microsoft.com/office/spreadsheetml/2009/9/main" objectType="CheckBox" fmlaLink="Fristenrechner!AA61" lockText="1" noThreeD="1"/>
</file>

<file path=xl/ctrlProps/ctrlProp182.xml><?xml version="1.0" encoding="utf-8"?>
<formControlPr xmlns="http://schemas.microsoft.com/office/spreadsheetml/2009/9/main" objectType="CheckBox" fmlaLink="Fristenrechner!Z62" lockText="1" noThreeD="1"/>
</file>

<file path=xl/ctrlProps/ctrlProp183.xml><?xml version="1.0" encoding="utf-8"?>
<formControlPr xmlns="http://schemas.microsoft.com/office/spreadsheetml/2009/9/main" objectType="CheckBox" fmlaLink="Fristenrechner!AA62" lockText="1" noThreeD="1"/>
</file>

<file path=xl/ctrlProps/ctrlProp184.xml><?xml version="1.0" encoding="utf-8"?>
<formControlPr xmlns="http://schemas.microsoft.com/office/spreadsheetml/2009/9/main" objectType="CheckBox" fmlaLink="Fristenrechner!Z64" lockText="1" noThreeD="1"/>
</file>

<file path=xl/ctrlProps/ctrlProp185.xml><?xml version="1.0" encoding="utf-8"?>
<formControlPr xmlns="http://schemas.microsoft.com/office/spreadsheetml/2009/9/main" objectType="CheckBox" fmlaLink="Fristenrechner!AA64" lockText="1" noThreeD="1"/>
</file>

<file path=xl/ctrlProps/ctrlProp186.xml><?xml version="1.0" encoding="utf-8"?>
<formControlPr xmlns="http://schemas.microsoft.com/office/spreadsheetml/2009/9/main" objectType="CheckBox" fmlaLink="Fristenrechner!Z65" lockText="1" noThreeD="1"/>
</file>

<file path=xl/ctrlProps/ctrlProp187.xml><?xml version="1.0" encoding="utf-8"?>
<formControlPr xmlns="http://schemas.microsoft.com/office/spreadsheetml/2009/9/main" objectType="CheckBox" fmlaLink="Fristenrechner!AA65" lockText="1" noThreeD="1"/>
</file>

<file path=xl/ctrlProps/ctrlProp188.xml><?xml version="1.0" encoding="utf-8"?>
<formControlPr xmlns="http://schemas.microsoft.com/office/spreadsheetml/2009/9/main" objectType="CheckBox" checked="Checked" fmlaLink="Fristenrechner!Z69" lockText="1" noThreeD="1"/>
</file>

<file path=xl/ctrlProps/ctrlProp189.xml><?xml version="1.0" encoding="utf-8"?>
<formControlPr xmlns="http://schemas.microsoft.com/office/spreadsheetml/2009/9/main" objectType="CheckBox" checked="Checked" fmlaLink="Fristenrechner!Z70" lockText="1" noThreeD="1"/>
</file>

<file path=xl/ctrlProps/ctrlProp19.xml><?xml version="1.0" encoding="utf-8"?>
<formControlPr xmlns="http://schemas.microsoft.com/office/spreadsheetml/2009/9/main" objectType="CheckBox" fmlaLink="Prozesskostenrechner!M40" lockText="1" noThreeD="1"/>
</file>

<file path=xl/ctrlProps/ctrlProp190.xml><?xml version="1.0" encoding="utf-8"?>
<formControlPr xmlns="http://schemas.microsoft.com/office/spreadsheetml/2009/9/main" objectType="CheckBox" checked="Checked" fmlaLink="Fristenrechner!Z71" lockText="1" noThreeD="1"/>
</file>

<file path=xl/ctrlProps/ctrlProp2.xml><?xml version="1.0" encoding="utf-8"?>
<formControlPr xmlns="http://schemas.microsoft.com/office/spreadsheetml/2009/9/main" objectType="CheckBox" fmlaLink="Prozesskostenrechner!M14" lockText="1" noThreeD="1"/>
</file>

<file path=xl/ctrlProps/ctrlProp20.xml><?xml version="1.0" encoding="utf-8"?>
<formControlPr xmlns="http://schemas.microsoft.com/office/spreadsheetml/2009/9/main" objectType="CheckBox" fmlaLink="Prozesskostenrechner!M41" lockText="1" noThreeD="1"/>
</file>

<file path=xl/ctrlProps/ctrlProp21.xml><?xml version="1.0" encoding="utf-8"?>
<formControlPr xmlns="http://schemas.microsoft.com/office/spreadsheetml/2009/9/main" objectType="CheckBox" fmlaLink="Prozesskostenrechner!M42" lockText="1" noThreeD="1"/>
</file>

<file path=xl/ctrlProps/ctrlProp22.xml><?xml version="1.0" encoding="utf-8"?>
<formControlPr xmlns="http://schemas.microsoft.com/office/spreadsheetml/2009/9/main" objectType="CheckBox" fmlaLink="Prozesskostenrechner!M43" lockText="1" noThreeD="1"/>
</file>

<file path=xl/ctrlProps/ctrlProp23.xml><?xml version="1.0" encoding="utf-8"?>
<formControlPr xmlns="http://schemas.microsoft.com/office/spreadsheetml/2009/9/main" objectType="CheckBox" fmlaLink="Kostenquotenrechner!AV6" lockText="1" noThreeD="1"/>
</file>

<file path=xl/ctrlProps/ctrlProp24.xml><?xml version="1.0" encoding="utf-8"?>
<formControlPr xmlns="http://schemas.microsoft.com/office/spreadsheetml/2009/9/main" objectType="CheckBox" fmlaLink="Kostenquotenrechner!AW6" lockText="1" noThreeD="1"/>
</file>

<file path=xl/ctrlProps/ctrlProp25.xml><?xml version="1.0" encoding="utf-8"?>
<formControlPr xmlns="http://schemas.microsoft.com/office/spreadsheetml/2009/9/main" objectType="CheckBox" fmlaLink="Kostenquotenrechner!AX6" lockText="1" noThreeD="1"/>
</file>

<file path=xl/ctrlProps/ctrlProp26.xml><?xml version="1.0" encoding="utf-8"?>
<formControlPr xmlns="http://schemas.microsoft.com/office/spreadsheetml/2009/9/main" objectType="CheckBox" fmlaLink="Kostenquotenrechner!AY6" lockText="1" noThreeD="1"/>
</file>

<file path=xl/ctrlProps/ctrlProp27.xml><?xml version="1.0" encoding="utf-8"?>
<formControlPr xmlns="http://schemas.microsoft.com/office/spreadsheetml/2009/9/main" objectType="CheckBox" fmlaLink="Kostenquotenrechner!AZ6" lockText="1" noThreeD="1"/>
</file>

<file path=xl/ctrlProps/ctrlProp28.xml><?xml version="1.0" encoding="utf-8"?>
<formControlPr xmlns="http://schemas.microsoft.com/office/spreadsheetml/2009/9/main" objectType="CheckBox" fmlaLink="Kostenquotenrechner!BA6" lockText="1" noThreeD="1"/>
</file>

<file path=xl/ctrlProps/ctrlProp29.xml><?xml version="1.0" encoding="utf-8"?>
<formControlPr xmlns="http://schemas.microsoft.com/office/spreadsheetml/2009/9/main" objectType="CheckBox" fmlaLink="Kostenquotenrechner!BF6" lockText="1" noThreeD="1"/>
</file>

<file path=xl/ctrlProps/ctrlProp3.xml><?xml version="1.0" encoding="utf-8"?>
<formControlPr xmlns="http://schemas.microsoft.com/office/spreadsheetml/2009/9/main" objectType="CheckBox" checked="Checked" fmlaLink="Prozesskostenrechner!M16" lockText="1" noThreeD="1"/>
</file>

<file path=xl/ctrlProps/ctrlProp30.xml><?xml version="1.0" encoding="utf-8"?>
<formControlPr xmlns="http://schemas.microsoft.com/office/spreadsheetml/2009/9/main" objectType="CheckBox" fmlaLink="Kostenquotenrechner!BG6" lockText="1" noThreeD="1"/>
</file>

<file path=xl/ctrlProps/ctrlProp31.xml><?xml version="1.0" encoding="utf-8"?>
<formControlPr xmlns="http://schemas.microsoft.com/office/spreadsheetml/2009/9/main" objectType="CheckBox" fmlaLink="Kostenquotenrechner!BH6" lockText="1" noThreeD="1"/>
</file>

<file path=xl/ctrlProps/ctrlProp32.xml><?xml version="1.0" encoding="utf-8"?>
<formControlPr xmlns="http://schemas.microsoft.com/office/spreadsheetml/2009/9/main" objectType="CheckBox" fmlaLink="Kostenquotenrechner!BI6" lockText="1" noThreeD="1"/>
</file>

<file path=xl/ctrlProps/ctrlProp33.xml><?xml version="1.0" encoding="utf-8"?>
<formControlPr xmlns="http://schemas.microsoft.com/office/spreadsheetml/2009/9/main" objectType="CheckBox" fmlaLink="Kostenquotenrechner!AV7" lockText="1" noThreeD="1"/>
</file>

<file path=xl/ctrlProps/ctrlProp34.xml><?xml version="1.0" encoding="utf-8"?>
<formControlPr xmlns="http://schemas.microsoft.com/office/spreadsheetml/2009/9/main" objectType="CheckBox" fmlaLink="Kostenquotenrechner!AW7" lockText="1" noThreeD="1"/>
</file>

<file path=xl/ctrlProps/ctrlProp35.xml><?xml version="1.0" encoding="utf-8"?>
<formControlPr xmlns="http://schemas.microsoft.com/office/spreadsheetml/2009/9/main" objectType="CheckBox" fmlaLink="Kostenquotenrechner!AX7" lockText="1" noThreeD="1"/>
</file>

<file path=xl/ctrlProps/ctrlProp36.xml><?xml version="1.0" encoding="utf-8"?>
<formControlPr xmlns="http://schemas.microsoft.com/office/spreadsheetml/2009/9/main" objectType="CheckBox" fmlaLink="Kostenquotenrechner!AY7" lockText="1" noThreeD="1"/>
</file>

<file path=xl/ctrlProps/ctrlProp37.xml><?xml version="1.0" encoding="utf-8"?>
<formControlPr xmlns="http://schemas.microsoft.com/office/spreadsheetml/2009/9/main" objectType="CheckBox" fmlaLink="Kostenquotenrechner!AZ7" lockText="1" noThreeD="1"/>
</file>

<file path=xl/ctrlProps/ctrlProp38.xml><?xml version="1.0" encoding="utf-8"?>
<formControlPr xmlns="http://schemas.microsoft.com/office/spreadsheetml/2009/9/main" objectType="CheckBox" fmlaLink="Kostenquotenrechner!BA7" lockText="1" noThreeD="1"/>
</file>

<file path=xl/ctrlProps/ctrlProp39.xml><?xml version="1.0" encoding="utf-8"?>
<formControlPr xmlns="http://schemas.microsoft.com/office/spreadsheetml/2009/9/main" objectType="CheckBox" fmlaLink="Kostenquotenrechner!BF7" lockText="1" noThreeD="1"/>
</file>

<file path=xl/ctrlProps/ctrlProp4.xml><?xml version="1.0" encoding="utf-8"?>
<formControlPr xmlns="http://schemas.microsoft.com/office/spreadsheetml/2009/9/main" objectType="CheckBox" fmlaLink="Prozesskostenrechner!M17" lockText="1" noThreeD="1"/>
</file>

<file path=xl/ctrlProps/ctrlProp40.xml><?xml version="1.0" encoding="utf-8"?>
<formControlPr xmlns="http://schemas.microsoft.com/office/spreadsheetml/2009/9/main" objectType="CheckBox" fmlaLink="Kostenquotenrechner!BG7" lockText="1" noThreeD="1"/>
</file>

<file path=xl/ctrlProps/ctrlProp41.xml><?xml version="1.0" encoding="utf-8"?>
<formControlPr xmlns="http://schemas.microsoft.com/office/spreadsheetml/2009/9/main" objectType="CheckBox" fmlaLink="Kostenquotenrechner!BH7" lockText="1" noThreeD="1"/>
</file>

<file path=xl/ctrlProps/ctrlProp42.xml><?xml version="1.0" encoding="utf-8"?>
<formControlPr xmlns="http://schemas.microsoft.com/office/spreadsheetml/2009/9/main" objectType="CheckBox" fmlaLink="Kostenquotenrechner!BI7" lockText="1" noThreeD="1"/>
</file>

<file path=xl/ctrlProps/ctrlProp43.xml><?xml version="1.0" encoding="utf-8"?>
<formControlPr xmlns="http://schemas.microsoft.com/office/spreadsheetml/2009/9/main" objectType="CheckBox" fmlaLink="Kostenquotenrechner!AV8" lockText="1" noThreeD="1"/>
</file>

<file path=xl/ctrlProps/ctrlProp44.xml><?xml version="1.0" encoding="utf-8"?>
<formControlPr xmlns="http://schemas.microsoft.com/office/spreadsheetml/2009/9/main" objectType="CheckBox" fmlaLink="Kostenquotenrechner!AW8" lockText="1" noThreeD="1"/>
</file>

<file path=xl/ctrlProps/ctrlProp45.xml><?xml version="1.0" encoding="utf-8"?>
<formControlPr xmlns="http://schemas.microsoft.com/office/spreadsheetml/2009/9/main" objectType="CheckBox" fmlaLink="Kostenquotenrechner!AX8" lockText="1" noThreeD="1"/>
</file>

<file path=xl/ctrlProps/ctrlProp46.xml><?xml version="1.0" encoding="utf-8"?>
<formControlPr xmlns="http://schemas.microsoft.com/office/spreadsheetml/2009/9/main" objectType="CheckBox" fmlaLink="Kostenquotenrechner!AY8" lockText="1" noThreeD="1"/>
</file>

<file path=xl/ctrlProps/ctrlProp47.xml><?xml version="1.0" encoding="utf-8"?>
<formControlPr xmlns="http://schemas.microsoft.com/office/spreadsheetml/2009/9/main" objectType="CheckBox" fmlaLink="Kostenquotenrechner!AZ8" lockText="1" noThreeD="1"/>
</file>

<file path=xl/ctrlProps/ctrlProp48.xml><?xml version="1.0" encoding="utf-8"?>
<formControlPr xmlns="http://schemas.microsoft.com/office/spreadsheetml/2009/9/main" objectType="CheckBox" fmlaLink="Kostenquotenrechner!BA8" lockText="1" noThreeD="1"/>
</file>

<file path=xl/ctrlProps/ctrlProp49.xml><?xml version="1.0" encoding="utf-8"?>
<formControlPr xmlns="http://schemas.microsoft.com/office/spreadsheetml/2009/9/main" objectType="CheckBox" fmlaLink="Kostenquotenrechner!BF8" lockText="1" noThreeD="1"/>
</file>

<file path=xl/ctrlProps/ctrlProp5.xml><?xml version="1.0" encoding="utf-8"?>
<formControlPr xmlns="http://schemas.microsoft.com/office/spreadsheetml/2009/9/main" objectType="CheckBox" fmlaLink="Prozesskostenrechner!M18" lockText="1" noThreeD="1"/>
</file>

<file path=xl/ctrlProps/ctrlProp50.xml><?xml version="1.0" encoding="utf-8"?>
<formControlPr xmlns="http://schemas.microsoft.com/office/spreadsheetml/2009/9/main" objectType="CheckBox" fmlaLink="Kostenquotenrechner!BG8" lockText="1" noThreeD="1"/>
</file>

<file path=xl/ctrlProps/ctrlProp51.xml><?xml version="1.0" encoding="utf-8"?>
<formControlPr xmlns="http://schemas.microsoft.com/office/spreadsheetml/2009/9/main" objectType="CheckBox" fmlaLink="Kostenquotenrechner!BH8" lockText="1" noThreeD="1"/>
</file>

<file path=xl/ctrlProps/ctrlProp52.xml><?xml version="1.0" encoding="utf-8"?>
<formControlPr xmlns="http://schemas.microsoft.com/office/spreadsheetml/2009/9/main" objectType="CheckBox" fmlaLink="Kostenquotenrechner!BI8" lockText="1" noThreeD="1"/>
</file>

<file path=xl/ctrlProps/ctrlProp53.xml><?xml version="1.0" encoding="utf-8"?>
<formControlPr xmlns="http://schemas.microsoft.com/office/spreadsheetml/2009/9/main" objectType="CheckBox" fmlaLink="Kostenquotenrechner!AV9" lockText="1" noThreeD="1"/>
</file>

<file path=xl/ctrlProps/ctrlProp54.xml><?xml version="1.0" encoding="utf-8"?>
<formControlPr xmlns="http://schemas.microsoft.com/office/spreadsheetml/2009/9/main" objectType="CheckBox" fmlaLink="Kostenquotenrechner!AW9" lockText="1" noThreeD="1"/>
</file>

<file path=xl/ctrlProps/ctrlProp55.xml><?xml version="1.0" encoding="utf-8"?>
<formControlPr xmlns="http://schemas.microsoft.com/office/spreadsheetml/2009/9/main" objectType="CheckBox" fmlaLink="Kostenquotenrechner!AX9" lockText="1" noThreeD="1"/>
</file>

<file path=xl/ctrlProps/ctrlProp56.xml><?xml version="1.0" encoding="utf-8"?>
<formControlPr xmlns="http://schemas.microsoft.com/office/spreadsheetml/2009/9/main" objectType="CheckBox" fmlaLink="Kostenquotenrechner!AY9" lockText="1" noThreeD="1"/>
</file>

<file path=xl/ctrlProps/ctrlProp57.xml><?xml version="1.0" encoding="utf-8"?>
<formControlPr xmlns="http://schemas.microsoft.com/office/spreadsheetml/2009/9/main" objectType="CheckBox" fmlaLink="Kostenquotenrechner!AZ9" lockText="1" noThreeD="1"/>
</file>

<file path=xl/ctrlProps/ctrlProp58.xml><?xml version="1.0" encoding="utf-8"?>
<formControlPr xmlns="http://schemas.microsoft.com/office/spreadsheetml/2009/9/main" objectType="CheckBox" fmlaLink="Kostenquotenrechner!BA9" lockText="1" noThreeD="1"/>
</file>

<file path=xl/ctrlProps/ctrlProp59.xml><?xml version="1.0" encoding="utf-8"?>
<formControlPr xmlns="http://schemas.microsoft.com/office/spreadsheetml/2009/9/main" objectType="CheckBox" fmlaLink="Kostenquotenrechner!BF9" lockText="1" noThreeD="1"/>
</file>

<file path=xl/ctrlProps/ctrlProp6.xml><?xml version="1.0" encoding="utf-8"?>
<formControlPr xmlns="http://schemas.microsoft.com/office/spreadsheetml/2009/9/main" objectType="CheckBox" fmlaLink="Prozesskostenrechner!M19" lockText="1" noThreeD="1"/>
</file>

<file path=xl/ctrlProps/ctrlProp60.xml><?xml version="1.0" encoding="utf-8"?>
<formControlPr xmlns="http://schemas.microsoft.com/office/spreadsheetml/2009/9/main" objectType="CheckBox" fmlaLink="Kostenquotenrechner!BG9" lockText="1" noThreeD="1"/>
</file>

<file path=xl/ctrlProps/ctrlProp61.xml><?xml version="1.0" encoding="utf-8"?>
<formControlPr xmlns="http://schemas.microsoft.com/office/spreadsheetml/2009/9/main" objectType="CheckBox" fmlaLink="Kostenquotenrechner!BH9" lockText="1" noThreeD="1"/>
</file>

<file path=xl/ctrlProps/ctrlProp62.xml><?xml version="1.0" encoding="utf-8"?>
<formControlPr xmlns="http://schemas.microsoft.com/office/spreadsheetml/2009/9/main" objectType="CheckBox" fmlaLink="Kostenquotenrechner!BI9" lockText="1" noThreeD="1"/>
</file>

<file path=xl/ctrlProps/ctrlProp63.xml><?xml version="1.0" encoding="utf-8"?>
<formControlPr xmlns="http://schemas.microsoft.com/office/spreadsheetml/2009/9/main" objectType="CheckBox" fmlaLink="Kostenquotenrechner!AV10" lockText="1" noThreeD="1"/>
</file>

<file path=xl/ctrlProps/ctrlProp64.xml><?xml version="1.0" encoding="utf-8"?>
<formControlPr xmlns="http://schemas.microsoft.com/office/spreadsheetml/2009/9/main" objectType="CheckBox" fmlaLink="Kostenquotenrechner!AW10" lockText="1" noThreeD="1"/>
</file>

<file path=xl/ctrlProps/ctrlProp65.xml><?xml version="1.0" encoding="utf-8"?>
<formControlPr xmlns="http://schemas.microsoft.com/office/spreadsheetml/2009/9/main" objectType="CheckBox" fmlaLink="Kostenquotenrechner!AX10" lockText="1" noThreeD="1"/>
</file>

<file path=xl/ctrlProps/ctrlProp66.xml><?xml version="1.0" encoding="utf-8"?>
<formControlPr xmlns="http://schemas.microsoft.com/office/spreadsheetml/2009/9/main" objectType="CheckBox" fmlaLink="Kostenquotenrechner!AY10" lockText="1" noThreeD="1"/>
</file>

<file path=xl/ctrlProps/ctrlProp67.xml><?xml version="1.0" encoding="utf-8"?>
<formControlPr xmlns="http://schemas.microsoft.com/office/spreadsheetml/2009/9/main" objectType="CheckBox" fmlaLink="Kostenquotenrechner!AZ10" lockText="1" noThreeD="1"/>
</file>

<file path=xl/ctrlProps/ctrlProp68.xml><?xml version="1.0" encoding="utf-8"?>
<formControlPr xmlns="http://schemas.microsoft.com/office/spreadsheetml/2009/9/main" objectType="CheckBox" fmlaLink="Kostenquotenrechner!BA10" lockText="1" noThreeD="1"/>
</file>

<file path=xl/ctrlProps/ctrlProp69.xml><?xml version="1.0" encoding="utf-8"?>
<formControlPr xmlns="http://schemas.microsoft.com/office/spreadsheetml/2009/9/main" objectType="CheckBox" fmlaLink="Kostenquotenrechner!BF10" lockText="1" noThreeD="1"/>
</file>

<file path=xl/ctrlProps/ctrlProp7.xml><?xml version="1.0" encoding="utf-8"?>
<formControlPr xmlns="http://schemas.microsoft.com/office/spreadsheetml/2009/9/main" objectType="CheckBox" fmlaLink="Prozesskostenrechner!M20" lockText="1" noThreeD="1"/>
</file>

<file path=xl/ctrlProps/ctrlProp70.xml><?xml version="1.0" encoding="utf-8"?>
<formControlPr xmlns="http://schemas.microsoft.com/office/spreadsheetml/2009/9/main" objectType="CheckBox" fmlaLink="Kostenquotenrechner!BG10" lockText="1" noThreeD="1"/>
</file>

<file path=xl/ctrlProps/ctrlProp71.xml><?xml version="1.0" encoding="utf-8"?>
<formControlPr xmlns="http://schemas.microsoft.com/office/spreadsheetml/2009/9/main" objectType="CheckBox" fmlaLink="Kostenquotenrechner!BH10" lockText="1" noThreeD="1"/>
</file>

<file path=xl/ctrlProps/ctrlProp72.xml><?xml version="1.0" encoding="utf-8"?>
<formControlPr xmlns="http://schemas.microsoft.com/office/spreadsheetml/2009/9/main" objectType="CheckBox" fmlaLink="Kostenquotenrechner!BI10" lockText="1" noThreeD="1"/>
</file>

<file path=xl/ctrlProps/ctrlProp73.xml><?xml version="1.0" encoding="utf-8"?>
<formControlPr xmlns="http://schemas.microsoft.com/office/spreadsheetml/2009/9/main" objectType="CheckBox" fmlaLink="Kostenquotenrechner!AV11" lockText="1" noThreeD="1"/>
</file>

<file path=xl/ctrlProps/ctrlProp74.xml><?xml version="1.0" encoding="utf-8"?>
<formControlPr xmlns="http://schemas.microsoft.com/office/spreadsheetml/2009/9/main" objectType="CheckBox" fmlaLink="Kostenquotenrechner!AW11" lockText="1" noThreeD="1"/>
</file>

<file path=xl/ctrlProps/ctrlProp75.xml><?xml version="1.0" encoding="utf-8"?>
<formControlPr xmlns="http://schemas.microsoft.com/office/spreadsheetml/2009/9/main" objectType="CheckBox" fmlaLink="Kostenquotenrechner!AX11" lockText="1" noThreeD="1"/>
</file>

<file path=xl/ctrlProps/ctrlProp76.xml><?xml version="1.0" encoding="utf-8"?>
<formControlPr xmlns="http://schemas.microsoft.com/office/spreadsheetml/2009/9/main" objectType="CheckBox" fmlaLink="Kostenquotenrechner!AY11" lockText="1" noThreeD="1"/>
</file>

<file path=xl/ctrlProps/ctrlProp77.xml><?xml version="1.0" encoding="utf-8"?>
<formControlPr xmlns="http://schemas.microsoft.com/office/spreadsheetml/2009/9/main" objectType="CheckBox" fmlaLink="Kostenquotenrechner!AZ11" lockText="1" noThreeD="1"/>
</file>

<file path=xl/ctrlProps/ctrlProp78.xml><?xml version="1.0" encoding="utf-8"?>
<formControlPr xmlns="http://schemas.microsoft.com/office/spreadsheetml/2009/9/main" objectType="CheckBox" fmlaLink="Kostenquotenrechner!BA11" lockText="1" noThreeD="1"/>
</file>

<file path=xl/ctrlProps/ctrlProp79.xml><?xml version="1.0" encoding="utf-8"?>
<formControlPr xmlns="http://schemas.microsoft.com/office/spreadsheetml/2009/9/main" objectType="CheckBox" fmlaLink="Kostenquotenrechner!BF11" lockText="1" noThreeD="1"/>
</file>

<file path=xl/ctrlProps/ctrlProp8.xml><?xml version="1.0" encoding="utf-8"?>
<formControlPr xmlns="http://schemas.microsoft.com/office/spreadsheetml/2009/9/main" objectType="CheckBox" fmlaLink="Prozesskostenrechner!M21" lockText="1" noThreeD="1"/>
</file>

<file path=xl/ctrlProps/ctrlProp80.xml><?xml version="1.0" encoding="utf-8"?>
<formControlPr xmlns="http://schemas.microsoft.com/office/spreadsheetml/2009/9/main" objectType="CheckBox" fmlaLink="Kostenquotenrechner!BG11" lockText="1" noThreeD="1"/>
</file>

<file path=xl/ctrlProps/ctrlProp81.xml><?xml version="1.0" encoding="utf-8"?>
<formControlPr xmlns="http://schemas.microsoft.com/office/spreadsheetml/2009/9/main" objectType="CheckBox" fmlaLink="Kostenquotenrechner!BH11" lockText="1" noThreeD="1"/>
</file>

<file path=xl/ctrlProps/ctrlProp82.xml><?xml version="1.0" encoding="utf-8"?>
<formControlPr xmlns="http://schemas.microsoft.com/office/spreadsheetml/2009/9/main" objectType="CheckBox" fmlaLink="Kostenquotenrechner!BI11" lockText="1" noThreeD="1"/>
</file>

<file path=xl/ctrlProps/ctrlProp83.xml><?xml version="1.0" encoding="utf-8"?>
<formControlPr xmlns="http://schemas.microsoft.com/office/spreadsheetml/2009/9/main" objectType="CheckBox" fmlaLink="Kostenquotenrechner!AV12" lockText="1" noThreeD="1"/>
</file>

<file path=xl/ctrlProps/ctrlProp84.xml><?xml version="1.0" encoding="utf-8"?>
<formControlPr xmlns="http://schemas.microsoft.com/office/spreadsheetml/2009/9/main" objectType="CheckBox" fmlaLink="Kostenquotenrechner!AW12" lockText="1" noThreeD="1"/>
</file>

<file path=xl/ctrlProps/ctrlProp85.xml><?xml version="1.0" encoding="utf-8"?>
<formControlPr xmlns="http://schemas.microsoft.com/office/spreadsheetml/2009/9/main" objectType="CheckBox" fmlaLink="Kostenquotenrechner!AX12" lockText="1" noThreeD="1"/>
</file>

<file path=xl/ctrlProps/ctrlProp86.xml><?xml version="1.0" encoding="utf-8"?>
<formControlPr xmlns="http://schemas.microsoft.com/office/spreadsheetml/2009/9/main" objectType="CheckBox" fmlaLink="Kostenquotenrechner!AY12" lockText="1" noThreeD="1"/>
</file>

<file path=xl/ctrlProps/ctrlProp87.xml><?xml version="1.0" encoding="utf-8"?>
<formControlPr xmlns="http://schemas.microsoft.com/office/spreadsheetml/2009/9/main" objectType="CheckBox" fmlaLink="Kostenquotenrechner!AZ12" lockText="1" noThreeD="1"/>
</file>

<file path=xl/ctrlProps/ctrlProp88.xml><?xml version="1.0" encoding="utf-8"?>
<formControlPr xmlns="http://schemas.microsoft.com/office/spreadsheetml/2009/9/main" objectType="CheckBox" fmlaLink="Kostenquotenrechner!BA12" lockText="1" noThreeD="1"/>
</file>

<file path=xl/ctrlProps/ctrlProp89.xml><?xml version="1.0" encoding="utf-8"?>
<formControlPr xmlns="http://schemas.microsoft.com/office/spreadsheetml/2009/9/main" objectType="CheckBox" fmlaLink="Kostenquotenrechner!BF12" lockText="1" noThreeD="1"/>
</file>

<file path=xl/ctrlProps/ctrlProp9.xml><?xml version="1.0" encoding="utf-8"?>
<formControlPr xmlns="http://schemas.microsoft.com/office/spreadsheetml/2009/9/main" objectType="CheckBox" fmlaLink="Prozesskostenrechner!M29" lockText="1" noThreeD="1"/>
</file>

<file path=xl/ctrlProps/ctrlProp90.xml><?xml version="1.0" encoding="utf-8"?>
<formControlPr xmlns="http://schemas.microsoft.com/office/spreadsheetml/2009/9/main" objectType="CheckBox" fmlaLink="Kostenquotenrechner!BG12" lockText="1" noThreeD="1"/>
</file>

<file path=xl/ctrlProps/ctrlProp91.xml><?xml version="1.0" encoding="utf-8"?>
<formControlPr xmlns="http://schemas.microsoft.com/office/spreadsheetml/2009/9/main" objectType="CheckBox" fmlaLink="Kostenquotenrechner!BH12" lockText="1" noThreeD="1"/>
</file>

<file path=xl/ctrlProps/ctrlProp92.xml><?xml version="1.0" encoding="utf-8"?>
<formControlPr xmlns="http://schemas.microsoft.com/office/spreadsheetml/2009/9/main" objectType="CheckBox" fmlaLink="Kostenquotenrechner!BI12" lockText="1" noThreeD="1"/>
</file>

<file path=xl/ctrlProps/ctrlProp93.xml><?xml version="1.0" encoding="utf-8"?>
<formControlPr xmlns="http://schemas.microsoft.com/office/spreadsheetml/2009/9/main" objectType="CheckBox" fmlaLink="Kostenquotenrechner!AV13" lockText="1" noThreeD="1"/>
</file>

<file path=xl/ctrlProps/ctrlProp94.xml><?xml version="1.0" encoding="utf-8"?>
<formControlPr xmlns="http://schemas.microsoft.com/office/spreadsheetml/2009/9/main" objectType="CheckBox" fmlaLink="Kostenquotenrechner!AW13" lockText="1" noThreeD="1"/>
</file>

<file path=xl/ctrlProps/ctrlProp95.xml><?xml version="1.0" encoding="utf-8"?>
<formControlPr xmlns="http://schemas.microsoft.com/office/spreadsheetml/2009/9/main" objectType="CheckBox" fmlaLink="Kostenquotenrechner!AX13" lockText="1" noThreeD="1"/>
</file>

<file path=xl/ctrlProps/ctrlProp96.xml><?xml version="1.0" encoding="utf-8"?>
<formControlPr xmlns="http://schemas.microsoft.com/office/spreadsheetml/2009/9/main" objectType="CheckBox" fmlaLink="Kostenquotenrechner!AY13" lockText="1" noThreeD="1"/>
</file>

<file path=xl/ctrlProps/ctrlProp97.xml><?xml version="1.0" encoding="utf-8"?>
<formControlPr xmlns="http://schemas.microsoft.com/office/spreadsheetml/2009/9/main" objectType="CheckBox" fmlaLink="Kostenquotenrechner!AZ13" lockText="1" noThreeD="1"/>
</file>

<file path=xl/ctrlProps/ctrlProp98.xml><?xml version="1.0" encoding="utf-8"?>
<formControlPr xmlns="http://schemas.microsoft.com/office/spreadsheetml/2009/9/main" objectType="CheckBox" fmlaLink="Kostenquotenrechner!BA13" lockText="1" noThreeD="1"/>
</file>

<file path=xl/ctrlProps/ctrlProp99.xml><?xml version="1.0" encoding="utf-8"?>
<formControlPr xmlns="http://schemas.microsoft.com/office/spreadsheetml/2009/9/main" objectType="CheckBox" fmlaLink="Kostenquotenrechner!BF1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24</xdr:row>
          <xdr:rowOff>133350</xdr:rowOff>
        </xdr:from>
        <xdr:to>
          <xdr:col>3</xdr:col>
          <xdr:colOff>714375</xdr:colOff>
          <xdr:row>26</xdr:row>
          <xdr:rowOff>28575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133350</xdr:rowOff>
        </xdr:from>
        <xdr:to>
          <xdr:col>6</xdr:col>
          <xdr:colOff>57150</xdr:colOff>
          <xdr:row>14</xdr:row>
          <xdr:rowOff>28575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1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133350</xdr:rowOff>
        </xdr:from>
        <xdr:to>
          <xdr:col>6</xdr:col>
          <xdr:colOff>57150</xdr:colOff>
          <xdr:row>16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133350</xdr:rowOff>
        </xdr:from>
        <xdr:to>
          <xdr:col>6</xdr:col>
          <xdr:colOff>57150</xdr:colOff>
          <xdr:row>17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133350</xdr:rowOff>
        </xdr:from>
        <xdr:to>
          <xdr:col>6</xdr:col>
          <xdr:colOff>57150</xdr:colOff>
          <xdr:row>18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133350</xdr:rowOff>
        </xdr:from>
        <xdr:to>
          <xdr:col>6</xdr:col>
          <xdr:colOff>57150</xdr:colOff>
          <xdr:row>19</xdr:row>
          <xdr:rowOff>28575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133350</xdr:rowOff>
        </xdr:from>
        <xdr:to>
          <xdr:col>6</xdr:col>
          <xdr:colOff>57150</xdr:colOff>
          <xdr:row>20</xdr:row>
          <xdr:rowOff>28575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133350</xdr:rowOff>
        </xdr:from>
        <xdr:to>
          <xdr:col>6</xdr:col>
          <xdr:colOff>57150</xdr:colOff>
          <xdr:row>21</xdr:row>
          <xdr:rowOff>28575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1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133350</xdr:rowOff>
        </xdr:from>
        <xdr:to>
          <xdr:col>6</xdr:col>
          <xdr:colOff>57150</xdr:colOff>
          <xdr:row>29</xdr:row>
          <xdr:rowOff>28575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133350</xdr:rowOff>
        </xdr:from>
        <xdr:to>
          <xdr:col>6</xdr:col>
          <xdr:colOff>57150</xdr:colOff>
          <xdr:row>30</xdr:row>
          <xdr:rowOff>28575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133350</xdr:rowOff>
        </xdr:from>
        <xdr:to>
          <xdr:col>6</xdr:col>
          <xdr:colOff>57150</xdr:colOff>
          <xdr:row>31</xdr:row>
          <xdr:rowOff>28575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31</xdr:row>
          <xdr:rowOff>133350</xdr:rowOff>
        </xdr:from>
        <xdr:to>
          <xdr:col>6</xdr:col>
          <xdr:colOff>57150</xdr:colOff>
          <xdr:row>33</xdr:row>
          <xdr:rowOff>28575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133350</xdr:rowOff>
        </xdr:from>
        <xdr:to>
          <xdr:col>6</xdr:col>
          <xdr:colOff>57150</xdr:colOff>
          <xdr:row>34</xdr:row>
          <xdr:rowOff>28575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133350</xdr:rowOff>
        </xdr:from>
        <xdr:to>
          <xdr:col>6</xdr:col>
          <xdr:colOff>57150</xdr:colOff>
          <xdr:row>35</xdr:row>
          <xdr:rowOff>28575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133350</xdr:rowOff>
        </xdr:from>
        <xdr:to>
          <xdr:col>6</xdr:col>
          <xdr:colOff>57150</xdr:colOff>
          <xdr:row>36</xdr:row>
          <xdr:rowOff>28575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133350</xdr:rowOff>
        </xdr:from>
        <xdr:to>
          <xdr:col>6</xdr:col>
          <xdr:colOff>57150</xdr:colOff>
          <xdr:row>37</xdr:row>
          <xdr:rowOff>28575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133350</xdr:rowOff>
        </xdr:from>
        <xdr:to>
          <xdr:col>6</xdr:col>
          <xdr:colOff>57150</xdr:colOff>
          <xdr:row>38</xdr:row>
          <xdr:rowOff>28575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133350</xdr:rowOff>
        </xdr:from>
        <xdr:to>
          <xdr:col>6</xdr:col>
          <xdr:colOff>57150</xdr:colOff>
          <xdr:row>39</xdr:row>
          <xdr:rowOff>28575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38</xdr:row>
          <xdr:rowOff>133350</xdr:rowOff>
        </xdr:from>
        <xdr:to>
          <xdr:col>6</xdr:col>
          <xdr:colOff>57150</xdr:colOff>
          <xdr:row>40</xdr:row>
          <xdr:rowOff>28575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39</xdr:row>
          <xdr:rowOff>133350</xdr:rowOff>
        </xdr:from>
        <xdr:to>
          <xdr:col>6</xdr:col>
          <xdr:colOff>57150</xdr:colOff>
          <xdr:row>41</xdr:row>
          <xdr:rowOff>28575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133350</xdr:rowOff>
        </xdr:from>
        <xdr:to>
          <xdr:col>6</xdr:col>
          <xdr:colOff>57150</xdr:colOff>
          <xdr:row>42</xdr:row>
          <xdr:rowOff>28575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41</xdr:row>
          <xdr:rowOff>133350</xdr:rowOff>
        </xdr:from>
        <xdr:to>
          <xdr:col>6</xdr:col>
          <xdr:colOff>57150</xdr:colOff>
          <xdr:row>43</xdr:row>
          <xdr:rowOff>28575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1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</xdr:row>
          <xdr:rowOff>133350</xdr:rowOff>
        </xdr:from>
        <xdr:to>
          <xdr:col>4</xdr:col>
          <xdr:colOff>95250</xdr:colOff>
          <xdr:row>6</xdr:row>
          <xdr:rowOff>28575</xdr:rowOff>
        </xdr:to>
        <xdr:sp macro="" textlink="">
          <xdr:nvSpPr>
            <xdr:cNvPr id="7311" name="Check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2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133350</xdr:rowOff>
        </xdr:from>
        <xdr:to>
          <xdr:col>5</xdr:col>
          <xdr:colOff>95250</xdr:colOff>
          <xdr:row>6</xdr:row>
          <xdr:rowOff>28575</xdr:rowOff>
        </xdr:to>
        <xdr:sp macro="" textlink="">
          <xdr:nvSpPr>
            <xdr:cNvPr id="7352" name="Check Box 184" hidden="1">
              <a:extLst>
                <a:ext uri="{63B3BB69-23CF-44E3-9099-C40C66FF867C}">
                  <a14:compatExt spid="_x0000_s7352"/>
                </a:ext>
                <a:ext uri="{FF2B5EF4-FFF2-40B4-BE49-F238E27FC236}">
                  <a16:creationId xmlns:a16="http://schemas.microsoft.com/office/drawing/2014/main" id="{00000000-0008-0000-0200-0000B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</xdr:row>
          <xdr:rowOff>133350</xdr:rowOff>
        </xdr:from>
        <xdr:to>
          <xdr:col>6</xdr:col>
          <xdr:colOff>95250</xdr:colOff>
          <xdr:row>6</xdr:row>
          <xdr:rowOff>28575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</xdr:row>
          <xdr:rowOff>133350</xdr:rowOff>
        </xdr:from>
        <xdr:to>
          <xdr:col>7</xdr:col>
          <xdr:colOff>95250</xdr:colOff>
          <xdr:row>6</xdr:row>
          <xdr:rowOff>28575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</xdr:row>
          <xdr:rowOff>133350</xdr:rowOff>
        </xdr:from>
        <xdr:to>
          <xdr:col>8</xdr:col>
          <xdr:colOff>95250</xdr:colOff>
          <xdr:row>6</xdr:row>
          <xdr:rowOff>28575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133350</xdr:rowOff>
        </xdr:from>
        <xdr:to>
          <xdr:col>9</xdr:col>
          <xdr:colOff>95250</xdr:colOff>
          <xdr:row>6</xdr:row>
          <xdr:rowOff>28575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</xdr:row>
          <xdr:rowOff>133350</xdr:rowOff>
        </xdr:from>
        <xdr:to>
          <xdr:col>18</xdr:col>
          <xdr:colOff>95250</xdr:colOff>
          <xdr:row>6</xdr:row>
          <xdr:rowOff>28575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</xdr:row>
          <xdr:rowOff>133350</xdr:rowOff>
        </xdr:from>
        <xdr:to>
          <xdr:col>19</xdr:col>
          <xdr:colOff>95250</xdr:colOff>
          <xdr:row>6</xdr:row>
          <xdr:rowOff>28575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</xdr:row>
          <xdr:rowOff>133350</xdr:rowOff>
        </xdr:from>
        <xdr:to>
          <xdr:col>20</xdr:col>
          <xdr:colOff>95250</xdr:colOff>
          <xdr:row>6</xdr:row>
          <xdr:rowOff>28575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4</xdr:row>
          <xdr:rowOff>133350</xdr:rowOff>
        </xdr:from>
        <xdr:to>
          <xdr:col>21</xdr:col>
          <xdr:colOff>95250</xdr:colOff>
          <xdr:row>6</xdr:row>
          <xdr:rowOff>28575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2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133350</xdr:rowOff>
        </xdr:from>
        <xdr:to>
          <xdr:col>4</xdr:col>
          <xdr:colOff>95250</xdr:colOff>
          <xdr:row>7</xdr:row>
          <xdr:rowOff>28575</xdr:rowOff>
        </xdr:to>
        <xdr:sp macro="" textlink="">
          <xdr:nvSpPr>
            <xdr:cNvPr id="7312" name="Check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2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133350</xdr:rowOff>
        </xdr:from>
        <xdr:to>
          <xdr:col>5</xdr:col>
          <xdr:colOff>95250</xdr:colOff>
          <xdr:row>7</xdr:row>
          <xdr:rowOff>28575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2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</xdr:row>
          <xdr:rowOff>133350</xdr:rowOff>
        </xdr:from>
        <xdr:to>
          <xdr:col>6</xdr:col>
          <xdr:colOff>95250</xdr:colOff>
          <xdr:row>7</xdr:row>
          <xdr:rowOff>28575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2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</xdr:row>
          <xdr:rowOff>133350</xdr:rowOff>
        </xdr:from>
        <xdr:to>
          <xdr:col>7</xdr:col>
          <xdr:colOff>95250</xdr:colOff>
          <xdr:row>7</xdr:row>
          <xdr:rowOff>28575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2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</xdr:row>
          <xdr:rowOff>133350</xdr:rowOff>
        </xdr:from>
        <xdr:to>
          <xdr:col>8</xdr:col>
          <xdr:colOff>95250</xdr:colOff>
          <xdr:row>7</xdr:row>
          <xdr:rowOff>28575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</xdr:row>
          <xdr:rowOff>133350</xdr:rowOff>
        </xdr:from>
        <xdr:to>
          <xdr:col>9</xdr:col>
          <xdr:colOff>95250</xdr:colOff>
          <xdr:row>7</xdr:row>
          <xdr:rowOff>28575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</xdr:row>
          <xdr:rowOff>133350</xdr:rowOff>
        </xdr:from>
        <xdr:to>
          <xdr:col>18</xdr:col>
          <xdr:colOff>95250</xdr:colOff>
          <xdr:row>7</xdr:row>
          <xdr:rowOff>28575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5</xdr:row>
          <xdr:rowOff>133350</xdr:rowOff>
        </xdr:from>
        <xdr:to>
          <xdr:col>19</xdr:col>
          <xdr:colOff>95250</xdr:colOff>
          <xdr:row>7</xdr:row>
          <xdr:rowOff>28575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5</xdr:row>
          <xdr:rowOff>133350</xdr:rowOff>
        </xdr:from>
        <xdr:to>
          <xdr:col>20</xdr:col>
          <xdr:colOff>95250</xdr:colOff>
          <xdr:row>7</xdr:row>
          <xdr:rowOff>28575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2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5</xdr:row>
          <xdr:rowOff>133350</xdr:rowOff>
        </xdr:from>
        <xdr:to>
          <xdr:col>21</xdr:col>
          <xdr:colOff>95250</xdr:colOff>
          <xdr:row>7</xdr:row>
          <xdr:rowOff>28575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2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133350</xdr:rowOff>
        </xdr:from>
        <xdr:to>
          <xdr:col>4</xdr:col>
          <xdr:colOff>95250</xdr:colOff>
          <xdr:row>8</xdr:row>
          <xdr:rowOff>28575</xdr:rowOff>
        </xdr:to>
        <xdr:sp macro="" textlink="">
          <xdr:nvSpPr>
            <xdr:cNvPr id="7313" name="Check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2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133350</xdr:rowOff>
        </xdr:from>
        <xdr:to>
          <xdr:col>5</xdr:col>
          <xdr:colOff>95250</xdr:colOff>
          <xdr:row>8</xdr:row>
          <xdr:rowOff>28575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2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</xdr:row>
          <xdr:rowOff>133350</xdr:rowOff>
        </xdr:from>
        <xdr:to>
          <xdr:col>6</xdr:col>
          <xdr:colOff>95250</xdr:colOff>
          <xdr:row>8</xdr:row>
          <xdr:rowOff>28575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</xdr:row>
          <xdr:rowOff>133350</xdr:rowOff>
        </xdr:from>
        <xdr:to>
          <xdr:col>7</xdr:col>
          <xdr:colOff>95250</xdr:colOff>
          <xdr:row>8</xdr:row>
          <xdr:rowOff>28575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</xdr:row>
          <xdr:rowOff>133350</xdr:rowOff>
        </xdr:from>
        <xdr:to>
          <xdr:col>8</xdr:col>
          <xdr:colOff>95250</xdr:colOff>
          <xdr:row>8</xdr:row>
          <xdr:rowOff>28575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6</xdr:row>
          <xdr:rowOff>133350</xdr:rowOff>
        </xdr:from>
        <xdr:to>
          <xdr:col>9</xdr:col>
          <xdr:colOff>95250</xdr:colOff>
          <xdr:row>8</xdr:row>
          <xdr:rowOff>28575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6</xdr:row>
          <xdr:rowOff>133350</xdr:rowOff>
        </xdr:from>
        <xdr:to>
          <xdr:col>18</xdr:col>
          <xdr:colOff>95250</xdr:colOff>
          <xdr:row>8</xdr:row>
          <xdr:rowOff>28575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6</xdr:row>
          <xdr:rowOff>133350</xdr:rowOff>
        </xdr:from>
        <xdr:to>
          <xdr:col>19</xdr:col>
          <xdr:colOff>95250</xdr:colOff>
          <xdr:row>8</xdr:row>
          <xdr:rowOff>28575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6</xdr:row>
          <xdr:rowOff>133350</xdr:rowOff>
        </xdr:from>
        <xdr:to>
          <xdr:col>20</xdr:col>
          <xdr:colOff>95250</xdr:colOff>
          <xdr:row>8</xdr:row>
          <xdr:rowOff>28575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6</xdr:row>
          <xdr:rowOff>133350</xdr:rowOff>
        </xdr:from>
        <xdr:to>
          <xdr:col>21</xdr:col>
          <xdr:colOff>95250</xdr:colOff>
          <xdr:row>8</xdr:row>
          <xdr:rowOff>28575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</xdr:row>
          <xdr:rowOff>133350</xdr:rowOff>
        </xdr:from>
        <xdr:to>
          <xdr:col>4</xdr:col>
          <xdr:colOff>95250</xdr:colOff>
          <xdr:row>9</xdr:row>
          <xdr:rowOff>28575</xdr:rowOff>
        </xdr:to>
        <xdr:sp macro="" textlink="">
          <xdr:nvSpPr>
            <xdr:cNvPr id="7314" name="Check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2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133350</xdr:rowOff>
        </xdr:from>
        <xdr:to>
          <xdr:col>5</xdr:col>
          <xdr:colOff>95250</xdr:colOff>
          <xdr:row>9</xdr:row>
          <xdr:rowOff>28575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2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</xdr:row>
          <xdr:rowOff>133350</xdr:rowOff>
        </xdr:from>
        <xdr:to>
          <xdr:col>6</xdr:col>
          <xdr:colOff>95250</xdr:colOff>
          <xdr:row>9</xdr:row>
          <xdr:rowOff>28575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</xdr:row>
          <xdr:rowOff>133350</xdr:rowOff>
        </xdr:from>
        <xdr:to>
          <xdr:col>7</xdr:col>
          <xdr:colOff>95250</xdr:colOff>
          <xdr:row>9</xdr:row>
          <xdr:rowOff>28575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7</xdr:row>
          <xdr:rowOff>133350</xdr:rowOff>
        </xdr:from>
        <xdr:to>
          <xdr:col>8</xdr:col>
          <xdr:colOff>95250</xdr:colOff>
          <xdr:row>9</xdr:row>
          <xdr:rowOff>28575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2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7</xdr:row>
          <xdr:rowOff>133350</xdr:rowOff>
        </xdr:from>
        <xdr:to>
          <xdr:col>9</xdr:col>
          <xdr:colOff>95250</xdr:colOff>
          <xdr:row>9</xdr:row>
          <xdr:rowOff>28575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2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7</xdr:row>
          <xdr:rowOff>133350</xdr:rowOff>
        </xdr:from>
        <xdr:to>
          <xdr:col>18</xdr:col>
          <xdr:colOff>95250</xdr:colOff>
          <xdr:row>9</xdr:row>
          <xdr:rowOff>28575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2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7</xdr:row>
          <xdr:rowOff>133350</xdr:rowOff>
        </xdr:from>
        <xdr:to>
          <xdr:col>19</xdr:col>
          <xdr:colOff>95250</xdr:colOff>
          <xdr:row>9</xdr:row>
          <xdr:rowOff>28575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2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7</xdr:row>
          <xdr:rowOff>133350</xdr:rowOff>
        </xdr:from>
        <xdr:to>
          <xdr:col>20</xdr:col>
          <xdr:colOff>95250</xdr:colOff>
          <xdr:row>9</xdr:row>
          <xdr:rowOff>28575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2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7</xdr:row>
          <xdr:rowOff>133350</xdr:rowOff>
        </xdr:from>
        <xdr:to>
          <xdr:col>21</xdr:col>
          <xdr:colOff>95250</xdr:colOff>
          <xdr:row>9</xdr:row>
          <xdr:rowOff>28575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2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133350</xdr:rowOff>
        </xdr:from>
        <xdr:to>
          <xdr:col>4</xdr:col>
          <xdr:colOff>95250</xdr:colOff>
          <xdr:row>10</xdr:row>
          <xdr:rowOff>28575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2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133350</xdr:rowOff>
        </xdr:from>
        <xdr:to>
          <xdr:col>5</xdr:col>
          <xdr:colOff>95250</xdr:colOff>
          <xdr:row>10</xdr:row>
          <xdr:rowOff>28575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2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133350</xdr:rowOff>
        </xdr:from>
        <xdr:to>
          <xdr:col>6</xdr:col>
          <xdr:colOff>95250</xdr:colOff>
          <xdr:row>10</xdr:row>
          <xdr:rowOff>28575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2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</xdr:row>
          <xdr:rowOff>133350</xdr:rowOff>
        </xdr:from>
        <xdr:to>
          <xdr:col>7</xdr:col>
          <xdr:colOff>95250</xdr:colOff>
          <xdr:row>10</xdr:row>
          <xdr:rowOff>28575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2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8</xdr:row>
          <xdr:rowOff>133350</xdr:rowOff>
        </xdr:from>
        <xdr:to>
          <xdr:col>8</xdr:col>
          <xdr:colOff>95250</xdr:colOff>
          <xdr:row>10</xdr:row>
          <xdr:rowOff>28575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2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8</xdr:row>
          <xdr:rowOff>133350</xdr:rowOff>
        </xdr:from>
        <xdr:to>
          <xdr:col>9</xdr:col>
          <xdr:colOff>95250</xdr:colOff>
          <xdr:row>10</xdr:row>
          <xdr:rowOff>28575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2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</xdr:row>
          <xdr:rowOff>133350</xdr:rowOff>
        </xdr:from>
        <xdr:to>
          <xdr:col>18</xdr:col>
          <xdr:colOff>95250</xdr:colOff>
          <xdr:row>10</xdr:row>
          <xdr:rowOff>28575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2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8</xdr:row>
          <xdr:rowOff>133350</xdr:rowOff>
        </xdr:from>
        <xdr:to>
          <xdr:col>19</xdr:col>
          <xdr:colOff>95250</xdr:colOff>
          <xdr:row>10</xdr:row>
          <xdr:rowOff>28575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2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8</xdr:row>
          <xdr:rowOff>133350</xdr:rowOff>
        </xdr:from>
        <xdr:to>
          <xdr:col>20</xdr:col>
          <xdr:colOff>95250</xdr:colOff>
          <xdr:row>10</xdr:row>
          <xdr:rowOff>28575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2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8</xdr:row>
          <xdr:rowOff>133350</xdr:rowOff>
        </xdr:from>
        <xdr:to>
          <xdr:col>21</xdr:col>
          <xdr:colOff>95250</xdr:colOff>
          <xdr:row>10</xdr:row>
          <xdr:rowOff>28575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2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</xdr:row>
          <xdr:rowOff>133350</xdr:rowOff>
        </xdr:from>
        <xdr:to>
          <xdr:col>4</xdr:col>
          <xdr:colOff>95250</xdr:colOff>
          <xdr:row>11</xdr:row>
          <xdr:rowOff>28575</xdr:rowOff>
        </xdr:to>
        <xdr:sp macro="" textlink="">
          <xdr:nvSpPr>
            <xdr:cNvPr id="7316" name="Check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2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</xdr:row>
          <xdr:rowOff>133350</xdr:rowOff>
        </xdr:from>
        <xdr:to>
          <xdr:col>5</xdr:col>
          <xdr:colOff>95250</xdr:colOff>
          <xdr:row>11</xdr:row>
          <xdr:rowOff>28575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2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133350</xdr:rowOff>
        </xdr:from>
        <xdr:to>
          <xdr:col>6</xdr:col>
          <xdr:colOff>95250</xdr:colOff>
          <xdr:row>11</xdr:row>
          <xdr:rowOff>28575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2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9</xdr:row>
          <xdr:rowOff>133350</xdr:rowOff>
        </xdr:from>
        <xdr:to>
          <xdr:col>7</xdr:col>
          <xdr:colOff>95250</xdr:colOff>
          <xdr:row>11</xdr:row>
          <xdr:rowOff>28575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2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9</xdr:row>
          <xdr:rowOff>133350</xdr:rowOff>
        </xdr:from>
        <xdr:to>
          <xdr:col>8</xdr:col>
          <xdr:colOff>95250</xdr:colOff>
          <xdr:row>11</xdr:row>
          <xdr:rowOff>28575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2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9</xdr:row>
          <xdr:rowOff>133350</xdr:rowOff>
        </xdr:from>
        <xdr:to>
          <xdr:col>9</xdr:col>
          <xdr:colOff>95250</xdr:colOff>
          <xdr:row>11</xdr:row>
          <xdr:rowOff>28575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2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9</xdr:row>
          <xdr:rowOff>133350</xdr:rowOff>
        </xdr:from>
        <xdr:to>
          <xdr:col>18</xdr:col>
          <xdr:colOff>95250</xdr:colOff>
          <xdr:row>11</xdr:row>
          <xdr:rowOff>28575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2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9</xdr:row>
          <xdr:rowOff>133350</xdr:rowOff>
        </xdr:from>
        <xdr:to>
          <xdr:col>19</xdr:col>
          <xdr:colOff>95250</xdr:colOff>
          <xdr:row>11</xdr:row>
          <xdr:rowOff>28575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2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9</xdr:row>
          <xdr:rowOff>133350</xdr:rowOff>
        </xdr:from>
        <xdr:to>
          <xdr:col>20</xdr:col>
          <xdr:colOff>95250</xdr:colOff>
          <xdr:row>11</xdr:row>
          <xdr:rowOff>28575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2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9</xdr:row>
          <xdr:rowOff>133350</xdr:rowOff>
        </xdr:from>
        <xdr:to>
          <xdr:col>21</xdr:col>
          <xdr:colOff>95250</xdr:colOff>
          <xdr:row>11</xdr:row>
          <xdr:rowOff>28575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2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</xdr:row>
          <xdr:rowOff>133350</xdr:rowOff>
        </xdr:from>
        <xdr:to>
          <xdr:col>4</xdr:col>
          <xdr:colOff>95250</xdr:colOff>
          <xdr:row>12</xdr:row>
          <xdr:rowOff>28575</xdr:rowOff>
        </xdr:to>
        <xdr:sp macro="" textlink="">
          <xdr:nvSpPr>
            <xdr:cNvPr id="7317" name="Check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2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</xdr:row>
          <xdr:rowOff>133350</xdr:rowOff>
        </xdr:from>
        <xdr:to>
          <xdr:col>5</xdr:col>
          <xdr:colOff>95250</xdr:colOff>
          <xdr:row>12</xdr:row>
          <xdr:rowOff>28575</xdr:rowOff>
        </xdr:to>
        <xdr:sp macro="" textlink="">
          <xdr:nvSpPr>
            <xdr:cNvPr id="7327" name="Check Box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2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</xdr:row>
          <xdr:rowOff>133350</xdr:rowOff>
        </xdr:from>
        <xdr:to>
          <xdr:col>6</xdr:col>
          <xdr:colOff>95250</xdr:colOff>
          <xdr:row>12</xdr:row>
          <xdr:rowOff>28575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2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10</xdr:row>
          <xdr:rowOff>133350</xdr:rowOff>
        </xdr:from>
        <xdr:to>
          <xdr:col>7</xdr:col>
          <xdr:colOff>95250</xdr:colOff>
          <xdr:row>12</xdr:row>
          <xdr:rowOff>28575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2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</xdr:row>
          <xdr:rowOff>133350</xdr:rowOff>
        </xdr:from>
        <xdr:to>
          <xdr:col>8</xdr:col>
          <xdr:colOff>95250</xdr:colOff>
          <xdr:row>12</xdr:row>
          <xdr:rowOff>28575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2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</xdr:row>
          <xdr:rowOff>133350</xdr:rowOff>
        </xdr:from>
        <xdr:to>
          <xdr:col>9</xdr:col>
          <xdr:colOff>95250</xdr:colOff>
          <xdr:row>12</xdr:row>
          <xdr:rowOff>28575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2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10</xdr:row>
          <xdr:rowOff>133350</xdr:rowOff>
        </xdr:from>
        <xdr:to>
          <xdr:col>18</xdr:col>
          <xdr:colOff>95250</xdr:colOff>
          <xdr:row>12</xdr:row>
          <xdr:rowOff>28575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2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10</xdr:row>
          <xdr:rowOff>133350</xdr:rowOff>
        </xdr:from>
        <xdr:to>
          <xdr:col>19</xdr:col>
          <xdr:colOff>95250</xdr:colOff>
          <xdr:row>12</xdr:row>
          <xdr:rowOff>28575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2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10</xdr:row>
          <xdr:rowOff>133350</xdr:rowOff>
        </xdr:from>
        <xdr:to>
          <xdr:col>20</xdr:col>
          <xdr:colOff>95250</xdr:colOff>
          <xdr:row>12</xdr:row>
          <xdr:rowOff>28575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2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10</xdr:row>
          <xdr:rowOff>133350</xdr:rowOff>
        </xdr:from>
        <xdr:to>
          <xdr:col>21</xdr:col>
          <xdr:colOff>95250</xdr:colOff>
          <xdr:row>12</xdr:row>
          <xdr:rowOff>28575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2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</xdr:row>
          <xdr:rowOff>133350</xdr:rowOff>
        </xdr:from>
        <xdr:to>
          <xdr:col>4</xdr:col>
          <xdr:colOff>95250</xdr:colOff>
          <xdr:row>13</xdr:row>
          <xdr:rowOff>28575</xdr:rowOff>
        </xdr:to>
        <xdr:sp macro="" textlink="">
          <xdr:nvSpPr>
            <xdr:cNvPr id="7318" name="Check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2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133350</xdr:rowOff>
        </xdr:from>
        <xdr:to>
          <xdr:col>5</xdr:col>
          <xdr:colOff>95250</xdr:colOff>
          <xdr:row>13</xdr:row>
          <xdr:rowOff>28575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2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</xdr:row>
          <xdr:rowOff>133350</xdr:rowOff>
        </xdr:from>
        <xdr:to>
          <xdr:col>6</xdr:col>
          <xdr:colOff>95250</xdr:colOff>
          <xdr:row>13</xdr:row>
          <xdr:rowOff>28575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2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11</xdr:row>
          <xdr:rowOff>133350</xdr:rowOff>
        </xdr:from>
        <xdr:to>
          <xdr:col>7</xdr:col>
          <xdr:colOff>95250</xdr:colOff>
          <xdr:row>13</xdr:row>
          <xdr:rowOff>28575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2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</xdr:row>
          <xdr:rowOff>133350</xdr:rowOff>
        </xdr:from>
        <xdr:to>
          <xdr:col>8</xdr:col>
          <xdr:colOff>95250</xdr:colOff>
          <xdr:row>13</xdr:row>
          <xdr:rowOff>28575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2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</xdr:row>
          <xdr:rowOff>133350</xdr:rowOff>
        </xdr:from>
        <xdr:to>
          <xdr:col>9</xdr:col>
          <xdr:colOff>95250</xdr:colOff>
          <xdr:row>13</xdr:row>
          <xdr:rowOff>28575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2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11</xdr:row>
          <xdr:rowOff>133350</xdr:rowOff>
        </xdr:from>
        <xdr:to>
          <xdr:col>18</xdr:col>
          <xdr:colOff>95250</xdr:colOff>
          <xdr:row>13</xdr:row>
          <xdr:rowOff>28575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2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11</xdr:row>
          <xdr:rowOff>133350</xdr:rowOff>
        </xdr:from>
        <xdr:to>
          <xdr:col>19</xdr:col>
          <xdr:colOff>95250</xdr:colOff>
          <xdr:row>13</xdr:row>
          <xdr:rowOff>28575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2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11</xdr:row>
          <xdr:rowOff>133350</xdr:rowOff>
        </xdr:from>
        <xdr:to>
          <xdr:col>20</xdr:col>
          <xdr:colOff>95250</xdr:colOff>
          <xdr:row>13</xdr:row>
          <xdr:rowOff>28575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2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11</xdr:row>
          <xdr:rowOff>133350</xdr:rowOff>
        </xdr:from>
        <xdr:to>
          <xdr:col>21</xdr:col>
          <xdr:colOff>95250</xdr:colOff>
          <xdr:row>13</xdr:row>
          <xdr:rowOff>28575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2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12</xdr:row>
          <xdr:rowOff>133350</xdr:rowOff>
        </xdr:from>
        <xdr:to>
          <xdr:col>4</xdr:col>
          <xdr:colOff>95250</xdr:colOff>
          <xdr:row>14</xdr:row>
          <xdr:rowOff>28575</xdr:rowOff>
        </xdr:to>
        <xdr:sp macro="" textlink="">
          <xdr:nvSpPr>
            <xdr:cNvPr id="7319" name="Check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2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133350</xdr:rowOff>
        </xdr:from>
        <xdr:to>
          <xdr:col>5</xdr:col>
          <xdr:colOff>95250</xdr:colOff>
          <xdr:row>14</xdr:row>
          <xdr:rowOff>28575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2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12</xdr:row>
          <xdr:rowOff>133350</xdr:rowOff>
        </xdr:from>
        <xdr:to>
          <xdr:col>6</xdr:col>
          <xdr:colOff>95250</xdr:colOff>
          <xdr:row>14</xdr:row>
          <xdr:rowOff>28575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2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12</xdr:row>
          <xdr:rowOff>133350</xdr:rowOff>
        </xdr:from>
        <xdr:to>
          <xdr:col>7</xdr:col>
          <xdr:colOff>95250</xdr:colOff>
          <xdr:row>14</xdr:row>
          <xdr:rowOff>28575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2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12</xdr:row>
          <xdr:rowOff>133350</xdr:rowOff>
        </xdr:from>
        <xdr:to>
          <xdr:col>8</xdr:col>
          <xdr:colOff>95250</xdr:colOff>
          <xdr:row>14</xdr:row>
          <xdr:rowOff>28575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2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</xdr:row>
          <xdr:rowOff>133350</xdr:rowOff>
        </xdr:from>
        <xdr:to>
          <xdr:col>9</xdr:col>
          <xdr:colOff>95250</xdr:colOff>
          <xdr:row>14</xdr:row>
          <xdr:rowOff>28575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2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12</xdr:row>
          <xdr:rowOff>133350</xdr:rowOff>
        </xdr:from>
        <xdr:to>
          <xdr:col>18</xdr:col>
          <xdr:colOff>95250</xdr:colOff>
          <xdr:row>14</xdr:row>
          <xdr:rowOff>28575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2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12</xdr:row>
          <xdr:rowOff>133350</xdr:rowOff>
        </xdr:from>
        <xdr:to>
          <xdr:col>19</xdr:col>
          <xdr:colOff>95250</xdr:colOff>
          <xdr:row>14</xdr:row>
          <xdr:rowOff>28575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2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12</xdr:row>
          <xdr:rowOff>133350</xdr:rowOff>
        </xdr:from>
        <xdr:to>
          <xdr:col>20</xdr:col>
          <xdr:colOff>95250</xdr:colOff>
          <xdr:row>14</xdr:row>
          <xdr:rowOff>28575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2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12</xdr:row>
          <xdr:rowOff>133350</xdr:rowOff>
        </xdr:from>
        <xdr:to>
          <xdr:col>21</xdr:col>
          <xdr:colOff>95250</xdr:colOff>
          <xdr:row>14</xdr:row>
          <xdr:rowOff>28575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2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133350</xdr:rowOff>
        </xdr:from>
        <xdr:to>
          <xdr:col>4</xdr:col>
          <xdr:colOff>95250</xdr:colOff>
          <xdr:row>15</xdr:row>
          <xdr:rowOff>28575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2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133350</xdr:rowOff>
        </xdr:from>
        <xdr:to>
          <xdr:col>5</xdr:col>
          <xdr:colOff>95250</xdr:colOff>
          <xdr:row>15</xdr:row>
          <xdr:rowOff>28575</xdr:rowOff>
        </xdr:to>
        <xdr:sp macro="" textlink="">
          <xdr:nvSpPr>
            <xdr:cNvPr id="7330" name="Check Box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2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13</xdr:row>
          <xdr:rowOff>133350</xdr:rowOff>
        </xdr:from>
        <xdr:to>
          <xdr:col>6</xdr:col>
          <xdr:colOff>95250</xdr:colOff>
          <xdr:row>15</xdr:row>
          <xdr:rowOff>28575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2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</xdr:row>
          <xdr:rowOff>133350</xdr:rowOff>
        </xdr:from>
        <xdr:to>
          <xdr:col>7</xdr:col>
          <xdr:colOff>95250</xdr:colOff>
          <xdr:row>15</xdr:row>
          <xdr:rowOff>28575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2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133350</xdr:rowOff>
        </xdr:from>
        <xdr:to>
          <xdr:col>8</xdr:col>
          <xdr:colOff>95250</xdr:colOff>
          <xdr:row>15</xdr:row>
          <xdr:rowOff>28575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2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13</xdr:row>
          <xdr:rowOff>133350</xdr:rowOff>
        </xdr:from>
        <xdr:to>
          <xdr:col>9</xdr:col>
          <xdr:colOff>95250</xdr:colOff>
          <xdr:row>15</xdr:row>
          <xdr:rowOff>28575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2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13</xdr:row>
          <xdr:rowOff>133350</xdr:rowOff>
        </xdr:from>
        <xdr:to>
          <xdr:col>18</xdr:col>
          <xdr:colOff>95250</xdr:colOff>
          <xdr:row>15</xdr:row>
          <xdr:rowOff>28575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2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13</xdr:row>
          <xdr:rowOff>133350</xdr:rowOff>
        </xdr:from>
        <xdr:to>
          <xdr:col>19</xdr:col>
          <xdr:colOff>95250</xdr:colOff>
          <xdr:row>15</xdr:row>
          <xdr:rowOff>28575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2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13</xdr:row>
          <xdr:rowOff>133350</xdr:rowOff>
        </xdr:from>
        <xdr:to>
          <xdr:col>20</xdr:col>
          <xdr:colOff>95250</xdr:colOff>
          <xdr:row>15</xdr:row>
          <xdr:rowOff>28575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2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13</xdr:row>
          <xdr:rowOff>133350</xdr:rowOff>
        </xdr:from>
        <xdr:to>
          <xdr:col>21</xdr:col>
          <xdr:colOff>95250</xdr:colOff>
          <xdr:row>15</xdr:row>
          <xdr:rowOff>28575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2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16</xdr:row>
          <xdr:rowOff>133350</xdr:rowOff>
        </xdr:from>
        <xdr:to>
          <xdr:col>6</xdr:col>
          <xdr:colOff>95250</xdr:colOff>
          <xdr:row>18</xdr:row>
          <xdr:rowOff>28575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2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16</xdr:row>
          <xdr:rowOff>133350</xdr:rowOff>
        </xdr:from>
        <xdr:to>
          <xdr:col>7</xdr:col>
          <xdr:colOff>95250</xdr:colOff>
          <xdr:row>18</xdr:row>
          <xdr:rowOff>28575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2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16</xdr:row>
          <xdr:rowOff>133350</xdr:rowOff>
        </xdr:from>
        <xdr:to>
          <xdr:col>8</xdr:col>
          <xdr:colOff>95250</xdr:colOff>
          <xdr:row>18</xdr:row>
          <xdr:rowOff>28575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2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16</xdr:row>
          <xdr:rowOff>133350</xdr:rowOff>
        </xdr:from>
        <xdr:to>
          <xdr:col>9</xdr:col>
          <xdr:colOff>95250</xdr:colOff>
          <xdr:row>18</xdr:row>
          <xdr:rowOff>28575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2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16</xdr:row>
          <xdr:rowOff>133350</xdr:rowOff>
        </xdr:from>
        <xdr:to>
          <xdr:col>10</xdr:col>
          <xdr:colOff>95250</xdr:colOff>
          <xdr:row>18</xdr:row>
          <xdr:rowOff>28575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2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16</xdr:row>
          <xdr:rowOff>133350</xdr:rowOff>
        </xdr:from>
        <xdr:to>
          <xdr:col>11</xdr:col>
          <xdr:colOff>95250</xdr:colOff>
          <xdr:row>18</xdr:row>
          <xdr:rowOff>28575</xdr:rowOff>
        </xdr:to>
        <xdr:sp macro="" textlink="">
          <xdr:nvSpPr>
            <xdr:cNvPr id="7334" name="Check Box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2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16</xdr:row>
          <xdr:rowOff>133350</xdr:rowOff>
        </xdr:from>
        <xdr:to>
          <xdr:col>12</xdr:col>
          <xdr:colOff>95250</xdr:colOff>
          <xdr:row>18</xdr:row>
          <xdr:rowOff>28575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2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16</xdr:row>
          <xdr:rowOff>133350</xdr:rowOff>
        </xdr:from>
        <xdr:to>
          <xdr:col>13</xdr:col>
          <xdr:colOff>95250</xdr:colOff>
          <xdr:row>18</xdr:row>
          <xdr:rowOff>28575</xdr:rowOff>
        </xdr:to>
        <xdr:sp macro="" textlink="">
          <xdr:nvSpPr>
            <xdr:cNvPr id="7337" name="Check Box 169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:a16="http://schemas.microsoft.com/office/drawing/2014/main" id="{00000000-0008-0000-02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16</xdr:row>
          <xdr:rowOff>133350</xdr:rowOff>
        </xdr:from>
        <xdr:to>
          <xdr:col>18</xdr:col>
          <xdr:colOff>95250</xdr:colOff>
          <xdr:row>18</xdr:row>
          <xdr:rowOff>28575</xdr:rowOff>
        </xdr:to>
        <xdr:sp macro="" textlink="">
          <xdr:nvSpPr>
            <xdr:cNvPr id="7304" name="Check Box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2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16</xdr:row>
          <xdr:rowOff>133350</xdr:rowOff>
        </xdr:from>
        <xdr:to>
          <xdr:col>19</xdr:col>
          <xdr:colOff>95250</xdr:colOff>
          <xdr:row>18</xdr:row>
          <xdr:rowOff>28575</xdr:rowOff>
        </xdr:to>
        <xdr:sp macro="" textlink="">
          <xdr:nvSpPr>
            <xdr:cNvPr id="7343" name="Check Box 175" hidden="1">
              <a:extLst>
                <a:ext uri="{63B3BB69-23CF-44E3-9099-C40C66FF867C}">
                  <a14:compatExt spid="_x0000_s7343"/>
                </a:ext>
                <a:ext uri="{FF2B5EF4-FFF2-40B4-BE49-F238E27FC236}">
                  <a16:creationId xmlns:a16="http://schemas.microsoft.com/office/drawing/2014/main" id="{00000000-0008-0000-0200-0000A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16</xdr:row>
          <xdr:rowOff>133350</xdr:rowOff>
        </xdr:from>
        <xdr:to>
          <xdr:col>20</xdr:col>
          <xdr:colOff>95250</xdr:colOff>
          <xdr:row>18</xdr:row>
          <xdr:rowOff>28575</xdr:rowOff>
        </xdr:to>
        <xdr:sp macro="" textlink="">
          <xdr:nvSpPr>
            <xdr:cNvPr id="7307" name="Check Box 139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:a16="http://schemas.microsoft.com/office/drawing/2014/main" id="{00000000-0008-0000-02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16</xdr:row>
          <xdr:rowOff>133350</xdr:rowOff>
        </xdr:from>
        <xdr:to>
          <xdr:col>21</xdr:col>
          <xdr:colOff>95250</xdr:colOff>
          <xdr:row>18</xdr:row>
          <xdr:rowOff>28575</xdr:rowOff>
        </xdr:to>
        <xdr:sp macro="" textlink="">
          <xdr:nvSpPr>
            <xdr:cNvPr id="7346" name="Check Box 178" hidden="1">
              <a:extLst>
                <a:ext uri="{63B3BB69-23CF-44E3-9099-C40C66FF867C}">
                  <a14:compatExt spid="_x0000_s7346"/>
                </a:ext>
                <a:ext uri="{FF2B5EF4-FFF2-40B4-BE49-F238E27FC236}">
                  <a16:creationId xmlns:a16="http://schemas.microsoft.com/office/drawing/2014/main" id="{00000000-0008-0000-0200-0000B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133350</xdr:rowOff>
        </xdr:from>
        <xdr:to>
          <xdr:col>6</xdr:col>
          <xdr:colOff>95250</xdr:colOff>
          <xdr:row>19</xdr:row>
          <xdr:rowOff>28575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2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17</xdr:row>
          <xdr:rowOff>133350</xdr:rowOff>
        </xdr:from>
        <xdr:to>
          <xdr:col>7</xdr:col>
          <xdr:colOff>95250</xdr:colOff>
          <xdr:row>19</xdr:row>
          <xdr:rowOff>28575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2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17</xdr:row>
          <xdr:rowOff>133350</xdr:rowOff>
        </xdr:from>
        <xdr:to>
          <xdr:col>8</xdr:col>
          <xdr:colOff>95250</xdr:colOff>
          <xdr:row>19</xdr:row>
          <xdr:rowOff>28575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2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133350</xdr:rowOff>
        </xdr:from>
        <xdr:to>
          <xdr:col>9</xdr:col>
          <xdr:colOff>95250</xdr:colOff>
          <xdr:row>19</xdr:row>
          <xdr:rowOff>28575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2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17</xdr:row>
          <xdr:rowOff>133350</xdr:rowOff>
        </xdr:from>
        <xdr:to>
          <xdr:col>10</xdr:col>
          <xdr:colOff>95250</xdr:colOff>
          <xdr:row>19</xdr:row>
          <xdr:rowOff>28575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2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17</xdr:row>
          <xdr:rowOff>133350</xdr:rowOff>
        </xdr:from>
        <xdr:to>
          <xdr:col>11</xdr:col>
          <xdr:colOff>95250</xdr:colOff>
          <xdr:row>19</xdr:row>
          <xdr:rowOff>28575</xdr:rowOff>
        </xdr:to>
        <xdr:sp macro="" textlink="">
          <xdr:nvSpPr>
            <xdr:cNvPr id="7335" name="Check Box 167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:a16="http://schemas.microsoft.com/office/drawing/2014/main" id="{00000000-0008-0000-02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17</xdr:row>
          <xdr:rowOff>133350</xdr:rowOff>
        </xdr:from>
        <xdr:to>
          <xdr:col>12</xdr:col>
          <xdr:colOff>95250</xdr:colOff>
          <xdr:row>19</xdr:row>
          <xdr:rowOff>28575</xdr:rowOff>
        </xdr:to>
        <xdr:sp macro="" textlink="">
          <xdr:nvSpPr>
            <xdr:cNvPr id="7296" name="Check Box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2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17</xdr:row>
          <xdr:rowOff>133350</xdr:rowOff>
        </xdr:from>
        <xdr:to>
          <xdr:col>13</xdr:col>
          <xdr:colOff>95250</xdr:colOff>
          <xdr:row>19</xdr:row>
          <xdr:rowOff>28575</xdr:rowOff>
        </xdr:to>
        <xdr:sp macro="" textlink="">
          <xdr:nvSpPr>
            <xdr:cNvPr id="7338" name="Check Box 170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:a16="http://schemas.microsoft.com/office/drawing/2014/main" id="{00000000-0008-0000-02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17</xdr:row>
          <xdr:rowOff>133350</xdr:rowOff>
        </xdr:from>
        <xdr:to>
          <xdr:col>18</xdr:col>
          <xdr:colOff>95250</xdr:colOff>
          <xdr:row>19</xdr:row>
          <xdr:rowOff>28575</xdr:rowOff>
        </xdr:to>
        <xdr:sp macro="" textlink="">
          <xdr:nvSpPr>
            <xdr:cNvPr id="7305" name="Check Box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2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17</xdr:row>
          <xdr:rowOff>133350</xdr:rowOff>
        </xdr:from>
        <xdr:to>
          <xdr:col>19</xdr:col>
          <xdr:colOff>95250</xdr:colOff>
          <xdr:row>19</xdr:row>
          <xdr:rowOff>28575</xdr:rowOff>
        </xdr:to>
        <xdr:sp macro="" textlink="">
          <xdr:nvSpPr>
            <xdr:cNvPr id="7344" name="Check Box 176" hidden="1">
              <a:extLst>
                <a:ext uri="{63B3BB69-23CF-44E3-9099-C40C66FF867C}">
                  <a14:compatExt spid="_x0000_s7344"/>
                </a:ext>
                <a:ext uri="{FF2B5EF4-FFF2-40B4-BE49-F238E27FC236}">
                  <a16:creationId xmlns:a16="http://schemas.microsoft.com/office/drawing/2014/main" id="{00000000-0008-0000-0200-0000B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17</xdr:row>
          <xdr:rowOff>133350</xdr:rowOff>
        </xdr:from>
        <xdr:to>
          <xdr:col>20</xdr:col>
          <xdr:colOff>95250</xdr:colOff>
          <xdr:row>19</xdr:row>
          <xdr:rowOff>28575</xdr:rowOff>
        </xdr:to>
        <xdr:sp macro="" textlink="">
          <xdr:nvSpPr>
            <xdr:cNvPr id="7308" name="Check Box 140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:a16="http://schemas.microsoft.com/office/drawing/2014/main" id="{00000000-0008-0000-02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17</xdr:row>
          <xdr:rowOff>133350</xdr:rowOff>
        </xdr:from>
        <xdr:to>
          <xdr:col>21</xdr:col>
          <xdr:colOff>95250</xdr:colOff>
          <xdr:row>19</xdr:row>
          <xdr:rowOff>28575</xdr:rowOff>
        </xdr:to>
        <xdr:sp macro="" textlink="">
          <xdr:nvSpPr>
            <xdr:cNvPr id="7347" name="Check Box 179" hidden="1">
              <a:extLst>
                <a:ext uri="{63B3BB69-23CF-44E3-9099-C40C66FF867C}">
                  <a14:compatExt spid="_x0000_s7347"/>
                </a:ext>
                <a:ext uri="{FF2B5EF4-FFF2-40B4-BE49-F238E27FC236}">
                  <a16:creationId xmlns:a16="http://schemas.microsoft.com/office/drawing/2014/main" id="{00000000-0008-0000-0200-0000B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133350</xdr:rowOff>
        </xdr:from>
        <xdr:to>
          <xdr:col>6</xdr:col>
          <xdr:colOff>95250</xdr:colOff>
          <xdr:row>20</xdr:row>
          <xdr:rowOff>19050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2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133350</xdr:rowOff>
        </xdr:from>
        <xdr:to>
          <xdr:col>7</xdr:col>
          <xdr:colOff>95250</xdr:colOff>
          <xdr:row>20</xdr:row>
          <xdr:rowOff>19050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2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18</xdr:row>
          <xdr:rowOff>133350</xdr:rowOff>
        </xdr:from>
        <xdr:to>
          <xdr:col>8</xdr:col>
          <xdr:colOff>95250</xdr:colOff>
          <xdr:row>20</xdr:row>
          <xdr:rowOff>19050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2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133350</xdr:rowOff>
        </xdr:from>
        <xdr:to>
          <xdr:col>9</xdr:col>
          <xdr:colOff>95250</xdr:colOff>
          <xdr:row>20</xdr:row>
          <xdr:rowOff>19050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2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18</xdr:row>
          <xdr:rowOff>133350</xdr:rowOff>
        </xdr:from>
        <xdr:to>
          <xdr:col>10</xdr:col>
          <xdr:colOff>95250</xdr:colOff>
          <xdr:row>20</xdr:row>
          <xdr:rowOff>19050</xdr:rowOff>
        </xdr:to>
        <xdr:sp macro="" textlink="">
          <xdr:nvSpPr>
            <xdr:cNvPr id="7333" name="Check Box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2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18</xdr:row>
          <xdr:rowOff>133350</xdr:rowOff>
        </xdr:from>
        <xdr:to>
          <xdr:col>11</xdr:col>
          <xdr:colOff>95250</xdr:colOff>
          <xdr:row>20</xdr:row>
          <xdr:rowOff>19050</xdr:rowOff>
        </xdr:to>
        <xdr:sp macro="" textlink="">
          <xdr:nvSpPr>
            <xdr:cNvPr id="7336" name="Check Box 168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:a16="http://schemas.microsoft.com/office/drawing/2014/main" id="{00000000-0008-0000-02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18</xdr:row>
          <xdr:rowOff>133350</xdr:rowOff>
        </xdr:from>
        <xdr:to>
          <xdr:col>12</xdr:col>
          <xdr:colOff>95250</xdr:colOff>
          <xdr:row>20</xdr:row>
          <xdr:rowOff>19050</xdr:rowOff>
        </xdr:to>
        <xdr:sp macro="" textlink="">
          <xdr:nvSpPr>
            <xdr:cNvPr id="7297" name="Check Box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2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18</xdr:row>
          <xdr:rowOff>133350</xdr:rowOff>
        </xdr:from>
        <xdr:to>
          <xdr:col>13</xdr:col>
          <xdr:colOff>95250</xdr:colOff>
          <xdr:row>20</xdr:row>
          <xdr:rowOff>19050</xdr:rowOff>
        </xdr:to>
        <xdr:sp macro="" textlink="">
          <xdr:nvSpPr>
            <xdr:cNvPr id="7339" name="Check Box 171" hidden="1">
              <a:extLst>
                <a:ext uri="{63B3BB69-23CF-44E3-9099-C40C66FF867C}">
                  <a14:compatExt spid="_x0000_s7339"/>
                </a:ext>
                <a:ext uri="{FF2B5EF4-FFF2-40B4-BE49-F238E27FC236}">
                  <a16:creationId xmlns:a16="http://schemas.microsoft.com/office/drawing/2014/main" id="{00000000-0008-0000-0200-0000A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18</xdr:row>
          <xdr:rowOff>133350</xdr:rowOff>
        </xdr:from>
        <xdr:to>
          <xdr:col>18</xdr:col>
          <xdr:colOff>95250</xdr:colOff>
          <xdr:row>20</xdr:row>
          <xdr:rowOff>19050</xdr:rowOff>
        </xdr:to>
        <xdr:sp macro="" textlink="">
          <xdr:nvSpPr>
            <xdr:cNvPr id="7306" name="Check Box 138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:a16="http://schemas.microsoft.com/office/drawing/2014/main" id="{00000000-0008-0000-02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18</xdr:row>
          <xdr:rowOff>133350</xdr:rowOff>
        </xdr:from>
        <xdr:to>
          <xdr:col>19</xdr:col>
          <xdr:colOff>95250</xdr:colOff>
          <xdr:row>20</xdr:row>
          <xdr:rowOff>19050</xdr:rowOff>
        </xdr:to>
        <xdr:sp macro="" textlink="">
          <xdr:nvSpPr>
            <xdr:cNvPr id="7345" name="Check Box 177" hidden="1">
              <a:extLst>
                <a:ext uri="{63B3BB69-23CF-44E3-9099-C40C66FF867C}">
                  <a14:compatExt spid="_x0000_s7345"/>
                </a:ext>
                <a:ext uri="{FF2B5EF4-FFF2-40B4-BE49-F238E27FC236}">
                  <a16:creationId xmlns:a16="http://schemas.microsoft.com/office/drawing/2014/main" id="{00000000-0008-0000-0200-0000B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18</xdr:row>
          <xdr:rowOff>133350</xdr:rowOff>
        </xdr:from>
        <xdr:to>
          <xdr:col>20</xdr:col>
          <xdr:colOff>95250</xdr:colOff>
          <xdr:row>20</xdr:row>
          <xdr:rowOff>19050</xdr:rowOff>
        </xdr:to>
        <xdr:sp macro="" textlink="">
          <xdr:nvSpPr>
            <xdr:cNvPr id="7309" name="Check Box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2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18</xdr:row>
          <xdr:rowOff>133350</xdr:rowOff>
        </xdr:from>
        <xdr:to>
          <xdr:col>21</xdr:col>
          <xdr:colOff>95250</xdr:colOff>
          <xdr:row>20</xdr:row>
          <xdr:rowOff>19050</xdr:rowOff>
        </xdr:to>
        <xdr:sp macro="" textlink="">
          <xdr:nvSpPr>
            <xdr:cNvPr id="7348" name="Check Box 180" hidden="1">
              <a:extLst>
                <a:ext uri="{63B3BB69-23CF-44E3-9099-C40C66FF867C}">
                  <a14:compatExt spid="_x0000_s7348"/>
                </a:ext>
                <a:ext uri="{FF2B5EF4-FFF2-40B4-BE49-F238E27FC236}">
                  <a16:creationId xmlns:a16="http://schemas.microsoft.com/office/drawing/2014/main" id="{00000000-0008-0000-0200-0000B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</xdr:row>
          <xdr:rowOff>133350</xdr:rowOff>
        </xdr:from>
        <xdr:to>
          <xdr:col>3</xdr:col>
          <xdr:colOff>209550</xdr:colOff>
          <xdr:row>9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3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142875</xdr:rowOff>
        </xdr:from>
        <xdr:to>
          <xdr:col>3</xdr:col>
          <xdr:colOff>209550</xdr:colOff>
          <xdr:row>15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3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133350</xdr:rowOff>
        </xdr:from>
        <xdr:to>
          <xdr:col>3</xdr:col>
          <xdr:colOff>219075</xdr:colOff>
          <xdr:row>16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3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133350</xdr:rowOff>
        </xdr:from>
        <xdr:to>
          <xdr:col>3</xdr:col>
          <xdr:colOff>219075</xdr:colOff>
          <xdr:row>17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3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133350</xdr:rowOff>
        </xdr:from>
        <xdr:to>
          <xdr:col>3</xdr:col>
          <xdr:colOff>219075</xdr:colOff>
          <xdr:row>18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3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133350</xdr:rowOff>
        </xdr:from>
        <xdr:to>
          <xdr:col>3</xdr:col>
          <xdr:colOff>209550</xdr:colOff>
          <xdr:row>19</xdr:row>
          <xdr:rowOff>28575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3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133350</xdr:rowOff>
        </xdr:from>
        <xdr:to>
          <xdr:col>3</xdr:col>
          <xdr:colOff>209550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3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64</xdr:row>
          <xdr:rowOff>133350</xdr:rowOff>
        </xdr:from>
        <xdr:to>
          <xdr:col>3</xdr:col>
          <xdr:colOff>209550</xdr:colOff>
          <xdr:row>66</xdr:row>
          <xdr:rowOff>28575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3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</xdr:row>
          <xdr:rowOff>133350</xdr:rowOff>
        </xdr:from>
        <xdr:to>
          <xdr:col>6</xdr:col>
          <xdr:colOff>323850</xdr:colOff>
          <xdr:row>15</xdr:row>
          <xdr:rowOff>28575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5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14</xdr:row>
          <xdr:rowOff>133350</xdr:rowOff>
        </xdr:from>
        <xdr:to>
          <xdr:col>6</xdr:col>
          <xdr:colOff>323850</xdr:colOff>
          <xdr:row>16</xdr:row>
          <xdr:rowOff>28575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5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133350</xdr:rowOff>
        </xdr:from>
        <xdr:to>
          <xdr:col>6</xdr:col>
          <xdr:colOff>323850</xdr:colOff>
          <xdr:row>17</xdr:row>
          <xdr:rowOff>28575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5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53</xdr:row>
          <xdr:rowOff>133350</xdr:rowOff>
        </xdr:from>
        <xdr:to>
          <xdr:col>11</xdr:col>
          <xdr:colOff>323850</xdr:colOff>
          <xdr:row>55</xdr:row>
          <xdr:rowOff>28575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5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53</xdr:row>
          <xdr:rowOff>133350</xdr:rowOff>
        </xdr:from>
        <xdr:to>
          <xdr:col>12</xdr:col>
          <xdr:colOff>323850</xdr:colOff>
          <xdr:row>55</xdr:row>
          <xdr:rowOff>28575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5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54</xdr:row>
          <xdr:rowOff>133350</xdr:rowOff>
        </xdr:from>
        <xdr:to>
          <xdr:col>11</xdr:col>
          <xdr:colOff>323850</xdr:colOff>
          <xdr:row>56</xdr:row>
          <xdr:rowOff>28575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5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54</xdr:row>
          <xdr:rowOff>133350</xdr:rowOff>
        </xdr:from>
        <xdr:to>
          <xdr:col>12</xdr:col>
          <xdr:colOff>323850</xdr:colOff>
          <xdr:row>56</xdr:row>
          <xdr:rowOff>28575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5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55</xdr:row>
          <xdr:rowOff>133350</xdr:rowOff>
        </xdr:from>
        <xdr:to>
          <xdr:col>11</xdr:col>
          <xdr:colOff>323850</xdr:colOff>
          <xdr:row>57</xdr:row>
          <xdr:rowOff>28575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5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55</xdr:row>
          <xdr:rowOff>133350</xdr:rowOff>
        </xdr:from>
        <xdr:to>
          <xdr:col>12</xdr:col>
          <xdr:colOff>323850</xdr:colOff>
          <xdr:row>57</xdr:row>
          <xdr:rowOff>28575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5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57</xdr:row>
          <xdr:rowOff>133350</xdr:rowOff>
        </xdr:from>
        <xdr:to>
          <xdr:col>11</xdr:col>
          <xdr:colOff>323850</xdr:colOff>
          <xdr:row>59</xdr:row>
          <xdr:rowOff>28575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5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57</xdr:row>
          <xdr:rowOff>133350</xdr:rowOff>
        </xdr:from>
        <xdr:to>
          <xdr:col>12</xdr:col>
          <xdr:colOff>323850</xdr:colOff>
          <xdr:row>59</xdr:row>
          <xdr:rowOff>28575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5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58</xdr:row>
          <xdr:rowOff>133350</xdr:rowOff>
        </xdr:from>
        <xdr:to>
          <xdr:col>11</xdr:col>
          <xdr:colOff>323850</xdr:colOff>
          <xdr:row>60</xdr:row>
          <xdr:rowOff>28575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5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58</xdr:row>
          <xdr:rowOff>133350</xdr:rowOff>
        </xdr:from>
        <xdr:to>
          <xdr:col>12</xdr:col>
          <xdr:colOff>323850</xdr:colOff>
          <xdr:row>60</xdr:row>
          <xdr:rowOff>28575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5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59</xdr:row>
          <xdr:rowOff>133350</xdr:rowOff>
        </xdr:from>
        <xdr:to>
          <xdr:col>11</xdr:col>
          <xdr:colOff>323850</xdr:colOff>
          <xdr:row>61</xdr:row>
          <xdr:rowOff>28575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5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59</xdr:row>
          <xdr:rowOff>133350</xdr:rowOff>
        </xdr:from>
        <xdr:to>
          <xdr:col>12</xdr:col>
          <xdr:colOff>323850</xdr:colOff>
          <xdr:row>61</xdr:row>
          <xdr:rowOff>28575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5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60</xdr:row>
          <xdr:rowOff>133350</xdr:rowOff>
        </xdr:from>
        <xdr:to>
          <xdr:col>11</xdr:col>
          <xdr:colOff>323850</xdr:colOff>
          <xdr:row>62</xdr:row>
          <xdr:rowOff>28575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5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60</xdr:row>
          <xdr:rowOff>133350</xdr:rowOff>
        </xdr:from>
        <xdr:to>
          <xdr:col>12</xdr:col>
          <xdr:colOff>323850</xdr:colOff>
          <xdr:row>62</xdr:row>
          <xdr:rowOff>28575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5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62</xdr:row>
          <xdr:rowOff>133350</xdr:rowOff>
        </xdr:from>
        <xdr:to>
          <xdr:col>11</xdr:col>
          <xdr:colOff>323850</xdr:colOff>
          <xdr:row>64</xdr:row>
          <xdr:rowOff>28575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5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62</xdr:row>
          <xdr:rowOff>133350</xdr:rowOff>
        </xdr:from>
        <xdr:to>
          <xdr:col>12</xdr:col>
          <xdr:colOff>323850</xdr:colOff>
          <xdr:row>64</xdr:row>
          <xdr:rowOff>28575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5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63</xdr:row>
          <xdr:rowOff>133350</xdr:rowOff>
        </xdr:from>
        <xdr:to>
          <xdr:col>11</xdr:col>
          <xdr:colOff>323850</xdr:colOff>
          <xdr:row>65</xdr:row>
          <xdr:rowOff>19050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5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63</xdr:row>
          <xdr:rowOff>133350</xdr:rowOff>
        </xdr:from>
        <xdr:to>
          <xdr:col>12</xdr:col>
          <xdr:colOff>323850</xdr:colOff>
          <xdr:row>65</xdr:row>
          <xdr:rowOff>19050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5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67</xdr:row>
          <xdr:rowOff>133350</xdr:rowOff>
        </xdr:from>
        <xdr:to>
          <xdr:col>6</xdr:col>
          <xdr:colOff>323850</xdr:colOff>
          <xdr:row>69</xdr:row>
          <xdr:rowOff>28575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5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68</xdr:row>
          <xdr:rowOff>133350</xdr:rowOff>
        </xdr:from>
        <xdr:to>
          <xdr:col>6</xdr:col>
          <xdr:colOff>323850</xdr:colOff>
          <xdr:row>70</xdr:row>
          <xdr:rowOff>28575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5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69</xdr:row>
          <xdr:rowOff>133350</xdr:rowOff>
        </xdr:from>
        <xdr:to>
          <xdr:col>6</xdr:col>
          <xdr:colOff>323850</xdr:colOff>
          <xdr:row>71</xdr:row>
          <xdr:rowOff>28575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5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45.xml"/><Relationship Id="rId117" Type="http://schemas.openxmlformats.org/officeDocument/2006/relationships/ctrlProp" Target="../ctrlProps/ctrlProp136.xml"/><Relationship Id="rId21" Type="http://schemas.openxmlformats.org/officeDocument/2006/relationships/ctrlProp" Target="../ctrlProps/ctrlProp40.xml"/><Relationship Id="rId42" Type="http://schemas.openxmlformats.org/officeDocument/2006/relationships/ctrlProp" Target="../ctrlProps/ctrlProp61.xml"/><Relationship Id="rId47" Type="http://schemas.openxmlformats.org/officeDocument/2006/relationships/ctrlProp" Target="../ctrlProps/ctrlProp66.xml"/><Relationship Id="rId63" Type="http://schemas.openxmlformats.org/officeDocument/2006/relationships/ctrlProp" Target="../ctrlProps/ctrlProp82.xml"/><Relationship Id="rId68" Type="http://schemas.openxmlformats.org/officeDocument/2006/relationships/ctrlProp" Target="../ctrlProps/ctrlProp87.xml"/><Relationship Id="rId84" Type="http://schemas.openxmlformats.org/officeDocument/2006/relationships/ctrlProp" Target="../ctrlProps/ctrlProp103.xml"/><Relationship Id="rId89" Type="http://schemas.openxmlformats.org/officeDocument/2006/relationships/ctrlProp" Target="../ctrlProps/ctrlProp108.xml"/><Relationship Id="rId112" Type="http://schemas.openxmlformats.org/officeDocument/2006/relationships/ctrlProp" Target="../ctrlProps/ctrlProp131.xml"/><Relationship Id="rId133" Type="http://schemas.openxmlformats.org/officeDocument/2006/relationships/ctrlProp" Target="../ctrlProps/ctrlProp152.xml"/><Relationship Id="rId138" Type="http://schemas.openxmlformats.org/officeDocument/2006/relationships/ctrlProp" Target="../ctrlProps/ctrlProp157.xml"/><Relationship Id="rId16" Type="http://schemas.openxmlformats.org/officeDocument/2006/relationships/ctrlProp" Target="../ctrlProps/ctrlProp35.xml"/><Relationship Id="rId107" Type="http://schemas.openxmlformats.org/officeDocument/2006/relationships/ctrlProp" Target="../ctrlProps/ctrlProp126.xml"/><Relationship Id="rId11" Type="http://schemas.openxmlformats.org/officeDocument/2006/relationships/ctrlProp" Target="../ctrlProps/ctrlProp30.xml"/><Relationship Id="rId32" Type="http://schemas.openxmlformats.org/officeDocument/2006/relationships/ctrlProp" Target="../ctrlProps/ctrlProp51.xml"/><Relationship Id="rId37" Type="http://schemas.openxmlformats.org/officeDocument/2006/relationships/ctrlProp" Target="../ctrlProps/ctrlProp56.xml"/><Relationship Id="rId53" Type="http://schemas.openxmlformats.org/officeDocument/2006/relationships/ctrlProp" Target="../ctrlProps/ctrlProp72.xml"/><Relationship Id="rId58" Type="http://schemas.openxmlformats.org/officeDocument/2006/relationships/ctrlProp" Target="../ctrlProps/ctrlProp77.xml"/><Relationship Id="rId74" Type="http://schemas.openxmlformats.org/officeDocument/2006/relationships/ctrlProp" Target="../ctrlProps/ctrlProp93.xml"/><Relationship Id="rId79" Type="http://schemas.openxmlformats.org/officeDocument/2006/relationships/ctrlProp" Target="../ctrlProps/ctrlProp98.xml"/><Relationship Id="rId102" Type="http://schemas.openxmlformats.org/officeDocument/2006/relationships/ctrlProp" Target="../ctrlProps/ctrlProp121.xml"/><Relationship Id="rId123" Type="http://schemas.openxmlformats.org/officeDocument/2006/relationships/ctrlProp" Target="../ctrlProps/ctrlProp142.xml"/><Relationship Id="rId128" Type="http://schemas.openxmlformats.org/officeDocument/2006/relationships/ctrlProp" Target="../ctrlProps/ctrlProp147.xml"/><Relationship Id="rId5" Type="http://schemas.openxmlformats.org/officeDocument/2006/relationships/ctrlProp" Target="../ctrlProps/ctrlProp24.xml"/><Relationship Id="rId90" Type="http://schemas.openxmlformats.org/officeDocument/2006/relationships/ctrlProp" Target="../ctrlProps/ctrlProp109.xml"/><Relationship Id="rId95" Type="http://schemas.openxmlformats.org/officeDocument/2006/relationships/ctrlProp" Target="../ctrlProps/ctrlProp114.xml"/><Relationship Id="rId22" Type="http://schemas.openxmlformats.org/officeDocument/2006/relationships/ctrlProp" Target="../ctrlProps/ctrlProp41.xml"/><Relationship Id="rId27" Type="http://schemas.openxmlformats.org/officeDocument/2006/relationships/ctrlProp" Target="../ctrlProps/ctrlProp46.xml"/><Relationship Id="rId43" Type="http://schemas.openxmlformats.org/officeDocument/2006/relationships/ctrlProp" Target="../ctrlProps/ctrlProp62.xml"/><Relationship Id="rId48" Type="http://schemas.openxmlformats.org/officeDocument/2006/relationships/ctrlProp" Target="../ctrlProps/ctrlProp67.xml"/><Relationship Id="rId64" Type="http://schemas.openxmlformats.org/officeDocument/2006/relationships/ctrlProp" Target="../ctrlProps/ctrlProp83.xml"/><Relationship Id="rId69" Type="http://schemas.openxmlformats.org/officeDocument/2006/relationships/ctrlProp" Target="../ctrlProps/ctrlProp88.xml"/><Relationship Id="rId113" Type="http://schemas.openxmlformats.org/officeDocument/2006/relationships/ctrlProp" Target="../ctrlProps/ctrlProp132.xml"/><Relationship Id="rId118" Type="http://schemas.openxmlformats.org/officeDocument/2006/relationships/ctrlProp" Target="../ctrlProps/ctrlProp137.xml"/><Relationship Id="rId134" Type="http://schemas.openxmlformats.org/officeDocument/2006/relationships/ctrlProp" Target="../ctrlProps/ctrlProp153.xml"/><Relationship Id="rId139" Type="http://schemas.openxmlformats.org/officeDocument/2006/relationships/ctrlProp" Target="../ctrlProps/ctrlProp158.xml"/><Relationship Id="rId8" Type="http://schemas.openxmlformats.org/officeDocument/2006/relationships/ctrlProp" Target="../ctrlProps/ctrlProp27.xml"/><Relationship Id="rId51" Type="http://schemas.openxmlformats.org/officeDocument/2006/relationships/ctrlProp" Target="../ctrlProps/ctrlProp70.xml"/><Relationship Id="rId72" Type="http://schemas.openxmlformats.org/officeDocument/2006/relationships/ctrlProp" Target="../ctrlProps/ctrlProp91.xml"/><Relationship Id="rId80" Type="http://schemas.openxmlformats.org/officeDocument/2006/relationships/ctrlProp" Target="../ctrlProps/ctrlProp99.xml"/><Relationship Id="rId85" Type="http://schemas.openxmlformats.org/officeDocument/2006/relationships/ctrlProp" Target="../ctrlProps/ctrlProp104.xml"/><Relationship Id="rId93" Type="http://schemas.openxmlformats.org/officeDocument/2006/relationships/ctrlProp" Target="../ctrlProps/ctrlProp112.xml"/><Relationship Id="rId98" Type="http://schemas.openxmlformats.org/officeDocument/2006/relationships/ctrlProp" Target="../ctrlProps/ctrlProp117.xml"/><Relationship Id="rId121" Type="http://schemas.openxmlformats.org/officeDocument/2006/relationships/ctrlProp" Target="../ctrlProps/ctrlProp140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31.xml"/><Relationship Id="rId17" Type="http://schemas.openxmlformats.org/officeDocument/2006/relationships/ctrlProp" Target="../ctrlProps/ctrlProp36.xml"/><Relationship Id="rId25" Type="http://schemas.openxmlformats.org/officeDocument/2006/relationships/ctrlProp" Target="../ctrlProps/ctrlProp44.xml"/><Relationship Id="rId33" Type="http://schemas.openxmlformats.org/officeDocument/2006/relationships/ctrlProp" Target="../ctrlProps/ctrlProp52.xml"/><Relationship Id="rId38" Type="http://schemas.openxmlformats.org/officeDocument/2006/relationships/ctrlProp" Target="../ctrlProps/ctrlProp57.xml"/><Relationship Id="rId46" Type="http://schemas.openxmlformats.org/officeDocument/2006/relationships/ctrlProp" Target="../ctrlProps/ctrlProp65.xml"/><Relationship Id="rId59" Type="http://schemas.openxmlformats.org/officeDocument/2006/relationships/ctrlProp" Target="../ctrlProps/ctrlProp78.xml"/><Relationship Id="rId67" Type="http://schemas.openxmlformats.org/officeDocument/2006/relationships/ctrlProp" Target="../ctrlProps/ctrlProp86.xml"/><Relationship Id="rId103" Type="http://schemas.openxmlformats.org/officeDocument/2006/relationships/ctrlProp" Target="../ctrlProps/ctrlProp122.xml"/><Relationship Id="rId108" Type="http://schemas.openxmlformats.org/officeDocument/2006/relationships/ctrlProp" Target="../ctrlProps/ctrlProp127.xml"/><Relationship Id="rId116" Type="http://schemas.openxmlformats.org/officeDocument/2006/relationships/ctrlProp" Target="../ctrlProps/ctrlProp135.xml"/><Relationship Id="rId124" Type="http://schemas.openxmlformats.org/officeDocument/2006/relationships/ctrlProp" Target="../ctrlProps/ctrlProp143.xml"/><Relationship Id="rId129" Type="http://schemas.openxmlformats.org/officeDocument/2006/relationships/ctrlProp" Target="../ctrlProps/ctrlProp148.xml"/><Relationship Id="rId137" Type="http://schemas.openxmlformats.org/officeDocument/2006/relationships/ctrlProp" Target="../ctrlProps/ctrlProp156.xml"/><Relationship Id="rId20" Type="http://schemas.openxmlformats.org/officeDocument/2006/relationships/ctrlProp" Target="../ctrlProps/ctrlProp39.xml"/><Relationship Id="rId41" Type="http://schemas.openxmlformats.org/officeDocument/2006/relationships/ctrlProp" Target="../ctrlProps/ctrlProp60.xml"/><Relationship Id="rId54" Type="http://schemas.openxmlformats.org/officeDocument/2006/relationships/ctrlProp" Target="../ctrlProps/ctrlProp73.xml"/><Relationship Id="rId62" Type="http://schemas.openxmlformats.org/officeDocument/2006/relationships/ctrlProp" Target="../ctrlProps/ctrlProp81.xml"/><Relationship Id="rId70" Type="http://schemas.openxmlformats.org/officeDocument/2006/relationships/ctrlProp" Target="../ctrlProps/ctrlProp89.xml"/><Relationship Id="rId75" Type="http://schemas.openxmlformats.org/officeDocument/2006/relationships/ctrlProp" Target="../ctrlProps/ctrlProp94.xml"/><Relationship Id="rId83" Type="http://schemas.openxmlformats.org/officeDocument/2006/relationships/ctrlProp" Target="../ctrlProps/ctrlProp102.xml"/><Relationship Id="rId88" Type="http://schemas.openxmlformats.org/officeDocument/2006/relationships/ctrlProp" Target="../ctrlProps/ctrlProp107.xml"/><Relationship Id="rId91" Type="http://schemas.openxmlformats.org/officeDocument/2006/relationships/ctrlProp" Target="../ctrlProps/ctrlProp110.xml"/><Relationship Id="rId96" Type="http://schemas.openxmlformats.org/officeDocument/2006/relationships/ctrlProp" Target="../ctrlProps/ctrlProp115.xml"/><Relationship Id="rId111" Type="http://schemas.openxmlformats.org/officeDocument/2006/relationships/ctrlProp" Target="../ctrlProps/ctrlProp130.xml"/><Relationship Id="rId132" Type="http://schemas.openxmlformats.org/officeDocument/2006/relationships/ctrlProp" Target="../ctrlProps/ctrlProp15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5.xml"/><Relationship Id="rId15" Type="http://schemas.openxmlformats.org/officeDocument/2006/relationships/ctrlProp" Target="../ctrlProps/ctrlProp34.xml"/><Relationship Id="rId23" Type="http://schemas.openxmlformats.org/officeDocument/2006/relationships/ctrlProp" Target="../ctrlProps/ctrlProp42.xml"/><Relationship Id="rId28" Type="http://schemas.openxmlformats.org/officeDocument/2006/relationships/ctrlProp" Target="../ctrlProps/ctrlProp47.xml"/><Relationship Id="rId36" Type="http://schemas.openxmlformats.org/officeDocument/2006/relationships/ctrlProp" Target="../ctrlProps/ctrlProp55.xml"/><Relationship Id="rId49" Type="http://schemas.openxmlformats.org/officeDocument/2006/relationships/ctrlProp" Target="../ctrlProps/ctrlProp68.xml"/><Relationship Id="rId57" Type="http://schemas.openxmlformats.org/officeDocument/2006/relationships/ctrlProp" Target="../ctrlProps/ctrlProp76.xml"/><Relationship Id="rId106" Type="http://schemas.openxmlformats.org/officeDocument/2006/relationships/ctrlProp" Target="../ctrlProps/ctrlProp125.xml"/><Relationship Id="rId114" Type="http://schemas.openxmlformats.org/officeDocument/2006/relationships/ctrlProp" Target="../ctrlProps/ctrlProp133.xml"/><Relationship Id="rId119" Type="http://schemas.openxmlformats.org/officeDocument/2006/relationships/ctrlProp" Target="../ctrlProps/ctrlProp138.xml"/><Relationship Id="rId127" Type="http://schemas.openxmlformats.org/officeDocument/2006/relationships/ctrlProp" Target="../ctrlProps/ctrlProp146.xml"/><Relationship Id="rId10" Type="http://schemas.openxmlformats.org/officeDocument/2006/relationships/ctrlProp" Target="../ctrlProps/ctrlProp29.xml"/><Relationship Id="rId31" Type="http://schemas.openxmlformats.org/officeDocument/2006/relationships/ctrlProp" Target="../ctrlProps/ctrlProp50.xml"/><Relationship Id="rId44" Type="http://schemas.openxmlformats.org/officeDocument/2006/relationships/ctrlProp" Target="../ctrlProps/ctrlProp63.xml"/><Relationship Id="rId52" Type="http://schemas.openxmlformats.org/officeDocument/2006/relationships/ctrlProp" Target="../ctrlProps/ctrlProp71.xml"/><Relationship Id="rId60" Type="http://schemas.openxmlformats.org/officeDocument/2006/relationships/ctrlProp" Target="../ctrlProps/ctrlProp79.xml"/><Relationship Id="rId65" Type="http://schemas.openxmlformats.org/officeDocument/2006/relationships/ctrlProp" Target="../ctrlProps/ctrlProp84.xml"/><Relationship Id="rId73" Type="http://schemas.openxmlformats.org/officeDocument/2006/relationships/ctrlProp" Target="../ctrlProps/ctrlProp92.xml"/><Relationship Id="rId78" Type="http://schemas.openxmlformats.org/officeDocument/2006/relationships/ctrlProp" Target="../ctrlProps/ctrlProp97.xml"/><Relationship Id="rId81" Type="http://schemas.openxmlformats.org/officeDocument/2006/relationships/ctrlProp" Target="../ctrlProps/ctrlProp100.xml"/><Relationship Id="rId86" Type="http://schemas.openxmlformats.org/officeDocument/2006/relationships/ctrlProp" Target="../ctrlProps/ctrlProp105.xml"/><Relationship Id="rId94" Type="http://schemas.openxmlformats.org/officeDocument/2006/relationships/ctrlProp" Target="../ctrlProps/ctrlProp113.xml"/><Relationship Id="rId99" Type="http://schemas.openxmlformats.org/officeDocument/2006/relationships/ctrlProp" Target="../ctrlProps/ctrlProp118.xml"/><Relationship Id="rId101" Type="http://schemas.openxmlformats.org/officeDocument/2006/relationships/ctrlProp" Target="../ctrlProps/ctrlProp120.xml"/><Relationship Id="rId122" Type="http://schemas.openxmlformats.org/officeDocument/2006/relationships/ctrlProp" Target="../ctrlProps/ctrlProp141.xml"/><Relationship Id="rId130" Type="http://schemas.openxmlformats.org/officeDocument/2006/relationships/ctrlProp" Target="../ctrlProps/ctrlProp149.xml"/><Relationship Id="rId135" Type="http://schemas.openxmlformats.org/officeDocument/2006/relationships/ctrlProp" Target="../ctrlProps/ctrlProp154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Relationship Id="rId13" Type="http://schemas.openxmlformats.org/officeDocument/2006/relationships/ctrlProp" Target="../ctrlProps/ctrlProp32.xml"/><Relationship Id="rId18" Type="http://schemas.openxmlformats.org/officeDocument/2006/relationships/ctrlProp" Target="../ctrlProps/ctrlProp37.xml"/><Relationship Id="rId39" Type="http://schemas.openxmlformats.org/officeDocument/2006/relationships/ctrlProp" Target="../ctrlProps/ctrlProp58.xml"/><Relationship Id="rId109" Type="http://schemas.openxmlformats.org/officeDocument/2006/relationships/ctrlProp" Target="../ctrlProps/ctrlProp128.xml"/><Relationship Id="rId34" Type="http://schemas.openxmlformats.org/officeDocument/2006/relationships/ctrlProp" Target="../ctrlProps/ctrlProp53.xml"/><Relationship Id="rId50" Type="http://schemas.openxmlformats.org/officeDocument/2006/relationships/ctrlProp" Target="../ctrlProps/ctrlProp69.xml"/><Relationship Id="rId55" Type="http://schemas.openxmlformats.org/officeDocument/2006/relationships/ctrlProp" Target="../ctrlProps/ctrlProp74.xml"/><Relationship Id="rId76" Type="http://schemas.openxmlformats.org/officeDocument/2006/relationships/ctrlProp" Target="../ctrlProps/ctrlProp95.xml"/><Relationship Id="rId97" Type="http://schemas.openxmlformats.org/officeDocument/2006/relationships/ctrlProp" Target="../ctrlProps/ctrlProp116.xml"/><Relationship Id="rId104" Type="http://schemas.openxmlformats.org/officeDocument/2006/relationships/ctrlProp" Target="../ctrlProps/ctrlProp123.xml"/><Relationship Id="rId120" Type="http://schemas.openxmlformats.org/officeDocument/2006/relationships/ctrlProp" Target="../ctrlProps/ctrlProp139.xml"/><Relationship Id="rId125" Type="http://schemas.openxmlformats.org/officeDocument/2006/relationships/ctrlProp" Target="../ctrlProps/ctrlProp144.xml"/><Relationship Id="rId7" Type="http://schemas.openxmlformats.org/officeDocument/2006/relationships/ctrlProp" Target="../ctrlProps/ctrlProp26.xml"/><Relationship Id="rId71" Type="http://schemas.openxmlformats.org/officeDocument/2006/relationships/ctrlProp" Target="../ctrlProps/ctrlProp90.xml"/><Relationship Id="rId92" Type="http://schemas.openxmlformats.org/officeDocument/2006/relationships/ctrlProp" Target="../ctrlProps/ctrlProp11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48.xml"/><Relationship Id="rId24" Type="http://schemas.openxmlformats.org/officeDocument/2006/relationships/ctrlProp" Target="../ctrlProps/ctrlProp43.xml"/><Relationship Id="rId40" Type="http://schemas.openxmlformats.org/officeDocument/2006/relationships/ctrlProp" Target="../ctrlProps/ctrlProp59.xml"/><Relationship Id="rId45" Type="http://schemas.openxmlformats.org/officeDocument/2006/relationships/ctrlProp" Target="../ctrlProps/ctrlProp64.xml"/><Relationship Id="rId66" Type="http://schemas.openxmlformats.org/officeDocument/2006/relationships/ctrlProp" Target="../ctrlProps/ctrlProp85.xml"/><Relationship Id="rId87" Type="http://schemas.openxmlformats.org/officeDocument/2006/relationships/ctrlProp" Target="../ctrlProps/ctrlProp106.xml"/><Relationship Id="rId110" Type="http://schemas.openxmlformats.org/officeDocument/2006/relationships/ctrlProp" Target="../ctrlProps/ctrlProp129.xml"/><Relationship Id="rId115" Type="http://schemas.openxmlformats.org/officeDocument/2006/relationships/ctrlProp" Target="../ctrlProps/ctrlProp134.xml"/><Relationship Id="rId131" Type="http://schemas.openxmlformats.org/officeDocument/2006/relationships/ctrlProp" Target="../ctrlProps/ctrlProp150.xml"/><Relationship Id="rId136" Type="http://schemas.openxmlformats.org/officeDocument/2006/relationships/ctrlProp" Target="../ctrlProps/ctrlProp155.xml"/><Relationship Id="rId61" Type="http://schemas.openxmlformats.org/officeDocument/2006/relationships/ctrlProp" Target="../ctrlProps/ctrlProp80.xml"/><Relationship Id="rId82" Type="http://schemas.openxmlformats.org/officeDocument/2006/relationships/ctrlProp" Target="../ctrlProps/ctrlProp101.xml"/><Relationship Id="rId19" Type="http://schemas.openxmlformats.org/officeDocument/2006/relationships/ctrlProp" Target="../ctrlProps/ctrlProp38.xml"/><Relationship Id="rId14" Type="http://schemas.openxmlformats.org/officeDocument/2006/relationships/ctrlProp" Target="../ctrlProps/ctrlProp33.xml"/><Relationship Id="rId30" Type="http://schemas.openxmlformats.org/officeDocument/2006/relationships/ctrlProp" Target="../ctrlProps/ctrlProp49.xml"/><Relationship Id="rId35" Type="http://schemas.openxmlformats.org/officeDocument/2006/relationships/ctrlProp" Target="../ctrlProps/ctrlProp54.xml"/><Relationship Id="rId56" Type="http://schemas.openxmlformats.org/officeDocument/2006/relationships/ctrlProp" Target="../ctrlProps/ctrlProp75.xml"/><Relationship Id="rId77" Type="http://schemas.openxmlformats.org/officeDocument/2006/relationships/ctrlProp" Target="../ctrlProps/ctrlProp96.xml"/><Relationship Id="rId100" Type="http://schemas.openxmlformats.org/officeDocument/2006/relationships/ctrlProp" Target="../ctrlProps/ctrlProp119.xml"/><Relationship Id="rId105" Type="http://schemas.openxmlformats.org/officeDocument/2006/relationships/ctrlProp" Target="../ctrlProps/ctrlProp124.xml"/><Relationship Id="rId126" Type="http://schemas.openxmlformats.org/officeDocument/2006/relationships/ctrlProp" Target="../ctrlProps/ctrlProp14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6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1.xml"/><Relationship Id="rId11" Type="http://schemas.openxmlformats.org/officeDocument/2006/relationships/ctrlProp" Target="../ctrlProps/ctrlProp166.xml"/><Relationship Id="rId5" Type="http://schemas.openxmlformats.org/officeDocument/2006/relationships/ctrlProp" Target="../ctrlProps/ctrlProp160.xml"/><Relationship Id="rId10" Type="http://schemas.openxmlformats.org/officeDocument/2006/relationships/ctrlProp" Target="../ctrlProps/ctrlProp165.xml"/><Relationship Id="rId4" Type="http://schemas.openxmlformats.org/officeDocument/2006/relationships/ctrlProp" Target="../ctrlProps/ctrlProp159.xml"/><Relationship Id="rId9" Type="http://schemas.openxmlformats.org/officeDocument/2006/relationships/ctrlProp" Target="../ctrlProps/ctrlProp16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1.xml"/><Relationship Id="rId13" Type="http://schemas.openxmlformats.org/officeDocument/2006/relationships/ctrlProp" Target="../ctrlProps/ctrlProp176.xml"/><Relationship Id="rId18" Type="http://schemas.openxmlformats.org/officeDocument/2006/relationships/ctrlProp" Target="../ctrlProps/ctrlProp181.xml"/><Relationship Id="rId26" Type="http://schemas.openxmlformats.org/officeDocument/2006/relationships/ctrlProp" Target="../ctrlProps/ctrlProp189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84.xml"/><Relationship Id="rId7" Type="http://schemas.openxmlformats.org/officeDocument/2006/relationships/ctrlProp" Target="../ctrlProps/ctrlProp170.xml"/><Relationship Id="rId12" Type="http://schemas.openxmlformats.org/officeDocument/2006/relationships/ctrlProp" Target="../ctrlProps/ctrlProp175.xml"/><Relationship Id="rId17" Type="http://schemas.openxmlformats.org/officeDocument/2006/relationships/ctrlProp" Target="../ctrlProps/ctrlProp180.xml"/><Relationship Id="rId25" Type="http://schemas.openxmlformats.org/officeDocument/2006/relationships/ctrlProp" Target="../ctrlProps/ctrlProp18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79.xml"/><Relationship Id="rId20" Type="http://schemas.openxmlformats.org/officeDocument/2006/relationships/ctrlProp" Target="../ctrlProps/ctrlProp183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69.xml"/><Relationship Id="rId11" Type="http://schemas.openxmlformats.org/officeDocument/2006/relationships/ctrlProp" Target="../ctrlProps/ctrlProp174.xml"/><Relationship Id="rId24" Type="http://schemas.openxmlformats.org/officeDocument/2006/relationships/ctrlProp" Target="../ctrlProps/ctrlProp187.xml"/><Relationship Id="rId5" Type="http://schemas.openxmlformats.org/officeDocument/2006/relationships/ctrlProp" Target="../ctrlProps/ctrlProp168.xml"/><Relationship Id="rId15" Type="http://schemas.openxmlformats.org/officeDocument/2006/relationships/ctrlProp" Target="../ctrlProps/ctrlProp178.xml"/><Relationship Id="rId23" Type="http://schemas.openxmlformats.org/officeDocument/2006/relationships/ctrlProp" Target="../ctrlProps/ctrlProp186.xml"/><Relationship Id="rId10" Type="http://schemas.openxmlformats.org/officeDocument/2006/relationships/ctrlProp" Target="../ctrlProps/ctrlProp173.xml"/><Relationship Id="rId19" Type="http://schemas.openxmlformats.org/officeDocument/2006/relationships/ctrlProp" Target="../ctrlProps/ctrlProp182.xml"/><Relationship Id="rId4" Type="http://schemas.openxmlformats.org/officeDocument/2006/relationships/ctrlProp" Target="../ctrlProps/ctrlProp167.xml"/><Relationship Id="rId9" Type="http://schemas.openxmlformats.org/officeDocument/2006/relationships/ctrlProp" Target="../ctrlProps/ctrlProp172.xml"/><Relationship Id="rId14" Type="http://schemas.openxmlformats.org/officeDocument/2006/relationships/ctrlProp" Target="../ctrlProps/ctrlProp177.xml"/><Relationship Id="rId22" Type="http://schemas.openxmlformats.org/officeDocument/2006/relationships/ctrlProp" Target="../ctrlProps/ctrlProp185.xml"/><Relationship Id="rId27" Type="http://schemas.openxmlformats.org/officeDocument/2006/relationships/ctrlProp" Target="../ctrlProps/ctrlProp19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L70"/>
  <sheetViews>
    <sheetView tabSelected="1" zoomScaleNormal="100" workbookViewId="0"/>
  </sheetViews>
  <sheetFormatPr baseColWidth="10" defaultColWidth="11.42578125" defaultRowHeight="12.75" x14ac:dyDescent="0.2"/>
  <cols>
    <col min="1" max="16384" width="11.42578125" style="47"/>
  </cols>
  <sheetData>
    <row r="1" spans="1:12" x14ac:dyDescent="0.2">
      <c r="A1" s="119" t="s">
        <v>875</v>
      </c>
    </row>
    <row r="2" spans="1:12" x14ac:dyDescent="0.2">
      <c r="A2" s="51" t="s">
        <v>7</v>
      </c>
    </row>
    <row r="3" spans="1:12" x14ac:dyDescent="0.2">
      <c r="A3" s="51" t="s">
        <v>876</v>
      </c>
    </row>
    <row r="4" spans="1:12" ht="13.5" thickBot="1" x14ac:dyDescent="0.25"/>
    <row r="5" spans="1:12" x14ac:dyDescent="0.2">
      <c r="A5" s="122" t="s">
        <v>735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4"/>
    </row>
    <row r="6" spans="1:12" x14ac:dyDescent="0.2">
      <c r="A6" s="128" t="s">
        <v>736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7"/>
    </row>
    <row r="7" spans="1:12" x14ac:dyDescent="0.2">
      <c r="A7" s="128" t="s">
        <v>737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7"/>
    </row>
    <row r="8" spans="1:12" ht="13.5" thickBot="1" x14ac:dyDescent="0.25">
      <c r="A8" s="129" t="s">
        <v>738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1"/>
    </row>
    <row r="9" spans="1:12" ht="13.5" thickBot="1" x14ac:dyDescent="0.25"/>
    <row r="10" spans="1:12" x14ac:dyDescent="0.2">
      <c r="A10" s="122" t="s">
        <v>400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4"/>
    </row>
    <row r="11" spans="1:12" ht="13.5" thickBot="1" x14ac:dyDescent="0.25">
      <c r="A11" s="129" t="s">
        <v>401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1"/>
    </row>
    <row r="12" spans="1:12" ht="13.5" thickBot="1" x14ac:dyDescent="0.25"/>
    <row r="13" spans="1:12" x14ac:dyDescent="0.2">
      <c r="A13" s="122" t="s">
        <v>702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4"/>
    </row>
    <row r="14" spans="1:12" x14ac:dyDescent="0.2">
      <c r="A14" s="125" t="s">
        <v>739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7"/>
    </row>
    <row r="15" spans="1:12" ht="13.5" thickBot="1" x14ac:dyDescent="0.25">
      <c r="A15" s="747" t="s">
        <v>740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1"/>
    </row>
    <row r="16" spans="1:12" ht="13.5" thickBot="1" x14ac:dyDescent="0.25"/>
    <row r="17" spans="1:12" x14ac:dyDescent="0.2">
      <c r="A17" s="122" t="s">
        <v>410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4"/>
    </row>
    <row r="18" spans="1:12" ht="13.5" thickBot="1" x14ac:dyDescent="0.25">
      <c r="A18" s="129" t="s">
        <v>411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1"/>
    </row>
    <row r="19" spans="1:12" ht="13.5" thickBot="1" x14ac:dyDescent="0.25"/>
    <row r="20" spans="1:12" x14ac:dyDescent="0.2">
      <c r="A20" s="122" t="s">
        <v>203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4"/>
    </row>
    <row r="21" spans="1:12" x14ac:dyDescent="0.2">
      <c r="A21" s="128" t="s">
        <v>546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7"/>
    </row>
    <row r="22" spans="1:12" ht="13.5" thickBot="1" x14ac:dyDescent="0.25">
      <c r="A22" s="129" t="s">
        <v>547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1"/>
    </row>
    <row r="24" spans="1:12" x14ac:dyDescent="0.2">
      <c r="A24" s="119" t="s">
        <v>100</v>
      </c>
    </row>
    <row r="25" spans="1:12" x14ac:dyDescent="0.2">
      <c r="A25" s="47" t="s">
        <v>101</v>
      </c>
    </row>
    <row r="26" spans="1:12" x14ac:dyDescent="0.2">
      <c r="A26" s="132" t="s">
        <v>498</v>
      </c>
      <c r="B26" s="133"/>
      <c r="C26" s="134"/>
      <c r="D26" s="47" t="s">
        <v>497</v>
      </c>
    </row>
    <row r="27" spans="1:12" x14ac:dyDescent="0.2">
      <c r="A27" s="598" t="s">
        <v>635</v>
      </c>
      <c r="B27" s="135"/>
      <c r="C27" s="47" t="s">
        <v>643</v>
      </c>
    </row>
    <row r="28" spans="1:12" s="600" customFormat="1" x14ac:dyDescent="0.2">
      <c r="A28" s="51" t="s">
        <v>657</v>
      </c>
    </row>
    <row r="30" spans="1:12" s="578" customFormat="1" x14ac:dyDescent="0.2">
      <c r="A30" s="282" t="s">
        <v>60</v>
      </c>
    </row>
    <row r="31" spans="1:12" s="578" customFormat="1" x14ac:dyDescent="0.2">
      <c r="A31" s="58" t="s">
        <v>112</v>
      </c>
    </row>
    <row r="32" spans="1:12" s="578" customFormat="1" x14ac:dyDescent="0.2"/>
    <row r="33" spans="1:1" s="576" customFormat="1" x14ac:dyDescent="0.2">
      <c r="A33" s="282" t="s">
        <v>614</v>
      </c>
    </row>
    <row r="34" spans="1:1" s="576" customFormat="1" x14ac:dyDescent="0.2">
      <c r="A34" s="58" t="s">
        <v>618</v>
      </c>
    </row>
    <row r="35" spans="1:1" s="579" customFormat="1" x14ac:dyDescent="0.2">
      <c r="A35" s="58" t="s">
        <v>774</v>
      </c>
    </row>
    <row r="36" spans="1:1" s="577" customFormat="1" x14ac:dyDescent="0.2">
      <c r="A36" s="58" t="s">
        <v>615</v>
      </c>
    </row>
    <row r="37" spans="1:1" s="577" customFormat="1" x14ac:dyDescent="0.2">
      <c r="A37" s="58" t="s">
        <v>775</v>
      </c>
    </row>
    <row r="38" spans="1:1" s="577" customFormat="1" x14ac:dyDescent="0.2">
      <c r="A38" s="58" t="s">
        <v>776</v>
      </c>
    </row>
    <row r="39" spans="1:1" s="577" customFormat="1" x14ac:dyDescent="0.2">
      <c r="A39" s="58" t="s">
        <v>619</v>
      </c>
    </row>
    <row r="40" spans="1:1" s="576" customFormat="1" x14ac:dyDescent="0.2">
      <c r="A40" s="58" t="s">
        <v>620</v>
      </c>
    </row>
    <row r="41" spans="1:1" s="577" customFormat="1" x14ac:dyDescent="0.2">
      <c r="A41" s="58" t="s">
        <v>616</v>
      </c>
    </row>
    <row r="42" spans="1:1" s="577" customFormat="1" x14ac:dyDescent="0.2">
      <c r="A42" s="58" t="s">
        <v>617</v>
      </c>
    </row>
    <row r="43" spans="1:1" s="576" customFormat="1" x14ac:dyDescent="0.2">
      <c r="A43" s="58"/>
    </row>
    <row r="44" spans="1:1" x14ac:dyDescent="0.2">
      <c r="A44" s="119" t="s">
        <v>322</v>
      </c>
    </row>
    <row r="45" spans="1:1" s="136" customFormat="1" x14ac:dyDescent="0.2">
      <c r="A45" s="138" t="s">
        <v>847</v>
      </c>
    </row>
    <row r="46" spans="1:1" s="136" customFormat="1" x14ac:dyDescent="0.2">
      <c r="A46" s="138" t="s">
        <v>877</v>
      </c>
    </row>
    <row r="47" spans="1:1" s="136" customFormat="1" x14ac:dyDescent="0.2">
      <c r="A47" s="136" t="s">
        <v>878</v>
      </c>
    </row>
    <row r="48" spans="1:1" s="136" customFormat="1" x14ac:dyDescent="0.2">
      <c r="A48" s="138" t="s">
        <v>873</v>
      </c>
    </row>
    <row r="49" spans="1:1" s="136" customFormat="1" x14ac:dyDescent="0.2">
      <c r="A49" s="136" t="s">
        <v>149</v>
      </c>
    </row>
    <row r="50" spans="1:1" s="136" customFormat="1" x14ac:dyDescent="0.2">
      <c r="A50" s="138" t="s">
        <v>879</v>
      </c>
    </row>
    <row r="51" spans="1:1" s="136" customFormat="1" x14ac:dyDescent="0.2">
      <c r="A51" s="138" t="s">
        <v>880</v>
      </c>
    </row>
    <row r="52" spans="1:1" s="136" customFormat="1" x14ac:dyDescent="0.2">
      <c r="A52" s="138" t="s">
        <v>881</v>
      </c>
    </row>
    <row r="53" spans="1:1" s="136" customFormat="1" x14ac:dyDescent="0.2">
      <c r="A53" s="138" t="s">
        <v>882</v>
      </c>
    </row>
    <row r="54" spans="1:1" s="136" customFormat="1" x14ac:dyDescent="0.2">
      <c r="A54" s="138" t="s">
        <v>890</v>
      </c>
    </row>
    <row r="55" spans="1:1" s="136" customFormat="1" x14ac:dyDescent="0.2">
      <c r="A55" s="138" t="s">
        <v>883</v>
      </c>
    </row>
    <row r="56" spans="1:1" s="136" customFormat="1" x14ac:dyDescent="0.2">
      <c r="A56" s="138"/>
    </row>
    <row r="57" spans="1:1" s="136" customFormat="1" x14ac:dyDescent="0.2">
      <c r="A57" s="137" t="s">
        <v>551</v>
      </c>
    </row>
    <row r="58" spans="1:1" s="136" customFormat="1" x14ac:dyDescent="0.2">
      <c r="A58" s="138" t="s">
        <v>870</v>
      </c>
    </row>
    <row r="59" spans="1:1" s="136" customFormat="1" x14ac:dyDescent="0.2">
      <c r="A59" s="138" t="s">
        <v>884</v>
      </c>
    </row>
    <row r="60" spans="1:1" s="136" customFormat="1" x14ac:dyDescent="0.2">
      <c r="A60" s="409" t="s">
        <v>755</v>
      </c>
    </row>
    <row r="61" spans="1:1" s="136" customFormat="1" x14ac:dyDescent="0.2">
      <c r="A61" s="409" t="s">
        <v>885</v>
      </c>
    </row>
    <row r="62" spans="1:1" s="136" customFormat="1" x14ac:dyDescent="0.2">
      <c r="A62" s="409" t="s">
        <v>887</v>
      </c>
    </row>
    <row r="63" spans="1:1" s="136" customFormat="1" x14ac:dyDescent="0.2">
      <c r="A63" s="409" t="s">
        <v>888</v>
      </c>
    </row>
    <row r="64" spans="1:1" s="136" customFormat="1" x14ac:dyDescent="0.2">
      <c r="A64" s="409" t="s">
        <v>889</v>
      </c>
    </row>
    <row r="65" spans="1:1" s="136" customFormat="1" x14ac:dyDescent="0.2">
      <c r="A65" s="409"/>
    </row>
    <row r="66" spans="1:1" s="136" customFormat="1" x14ac:dyDescent="0.2">
      <c r="A66" s="137" t="s">
        <v>102</v>
      </c>
    </row>
    <row r="67" spans="1:1" x14ac:dyDescent="0.2">
      <c r="A67" s="51" t="s">
        <v>389</v>
      </c>
    </row>
    <row r="68" spans="1:1" x14ac:dyDescent="0.2">
      <c r="A68" s="51" t="s">
        <v>844</v>
      </c>
    </row>
    <row r="69" spans="1:1" x14ac:dyDescent="0.2">
      <c r="A69" s="51" t="s">
        <v>571</v>
      </c>
    </row>
    <row r="70" spans="1:1" x14ac:dyDescent="0.2">
      <c r="A70" s="47" t="s">
        <v>204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3</xdr:col>
                    <xdr:colOff>409575</xdr:colOff>
                    <xdr:row>24</xdr:row>
                    <xdr:rowOff>133350</xdr:rowOff>
                  </from>
                  <to>
                    <xdr:col>3</xdr:col>
                    <xdr:colOff>714375</xdr:colOff>
                    <xdr:row>26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9"/>
  <dimension ref="A1:AN45"/>
  <sheetViews>
    <sheetView workbookViewId="0"/>
  </sheetViews>
  <sheetFormatPr baseColWidth="10" defaultColWidth="11.42578125" defaultRowHeight="12.75" x14ac:dyDescent="0.2"/>
  <cols>
    <col min="1" max="1" width="16.28515625" style="20" customWidth="1"/>
    <col min="2" max="4" width="11.42578125" style="20"/>
    <col min="5" max="5" width="12.7109375" style="20" bestFit="1" customWidth="1"/>
    <col min="6" max="9" width="11.42578125" style="20"/>
    <col min="10" max="10" width="12.7109375" style="20" bestFit="1" customWidth="1"/>
    <col min="11" max="11" width="11.42578125" style="20"/>
    <col min="12" max="12" width="16.28515625" style="20" customWidth="1"/>
    <col min="13" max="15" width="11.42578125" style="20"/>
    <col min="16" max="16" width="12.7109375" style="20" bestFit="1" customWidth="1"/>
    <col min="17" max="21" width="11.42578125" style="20"/>
    <col min="22" max="22" width="16.28515625" style="20" customWidth="1"/>
    <col min="23" max="25" width="11.42578125" style="20"/>
    <col min="26" max="26" width="12.7109375" style="20" bestFit="1" customWidth="1"/>
    <col min="27" max="35" width="11.42578125" style="20"/>
    <col min="36" max="36" width="12.7109375" style="20" bestFit="1" customWidth="1"/>
    <col min="37" max="16384" width="11.42578125" style="20"/>
  </cols>
  <sheetData>
    <row r="1" spans="1:40" x14ac:dyDescent="0.2">
      <c r="A1" s="18" t="s">
        <v>432</v>
      </c>
      <c r="B1" s="39" t="str">
        <f ca="1">IF(Prozesskostenrechner!C6="heute",IF(TODAY()&lt;=DATE(2013,7,31),"bis 31.07.2013",IF(TODAY()&lt;=DATE(2020,12,31),"bis 31.12.2020",IF(TODAY()&lt;=DATE(2025,5,31),"bis 31.05.2025","ab 01.06.2025"))),Prozesskostenrechner!C6)</f>
        <v>ab 01.06.2025</v>
      </c>
    </row>
    <row r="3" spans="1:40" x14ac:dyDescent="0.2">
      <c r="A3" s="18" t="s">
        <v>500</v>
      </c>
      <c r="L3" s="18"/>
    </row>
    <row r="4" spans="1:40" x14ac:dyDescent="0.2">
      <c r="A4" s="19" t="s">
        <v>432</v>
      </c>
      <c r="E4" s="42" t="s">
        <v>145</v>
      </c>
      <c r="L4" s="19" t="s">
        <v>432</v>
      </c>
      <c r="P4" s="42" t="s">
        <v>777</v>
      </c>
      <c r="V4" s="19" t="s">
        <v>432</v>
      </c>
      <c r="Z4" s="42" t="s">
        <v>871</v>
      </c>
      <c r="AF4" s="19" t="s">
        <v>432</v>
      </c>
      <c r="AJ4" s="42" t="s">
        <v>872</v>
      </c>
    </row>
    <row r="5" spans="1:40" x14ac:dyDescent="0.2">
      <c r="A5" s="19" t="s">
        <v>418</v>
      </c>
      <c r="C5" s="38"/>
      <c r="E5" s="38">
        <v>30000000</v>
      </c>
      <c r="L5" s="19" t="s">
        <v>418</v>
      </c>
      <c r="M5" s="39"/>
      <c r="P5" s="38">
        <v>30000000</v>
      </c>
      <c r="V5" s="19" t="s">
        <v>418</v>
      </c>
      <c r="W5" s="39"/>
      <c r="Z5" s="38">
        <v>30000000</v>
      </c>
      <c r="AF5" s="19" t="s">
        <v>418</v>
      </c>
      <c r="AG5" s="39"/>
      <c r="AJ5" s="38">
        <v>30000000</v>
      </c>
    </row>
    <row r="6" spans="1:40" x14ac:dyDescent="0.2">
      <c r="A6" s="20" t="s">
        <v>419</v>
      </c>
      <c r="E6" s="38">
        <v>10</v>
      </c>
      <c r="L6" s="20" t="s">
        <v>419</v>
      </c>
      <c r="M6" s="39"/>
      <c r="P6" s="38">
        <v>15</v>
      </c>
      <c r="V6" s="20" t="s">
        <v>419</v>
      </c>
      <c r="W6" s="39"/>
      <c r="Z6" s="38">
        <v>15</v>
      </c>
      <c r="AF6" s="20" t="s">
        <v>419</v>
      </c>
      <c r="AG6" s="39"/>
      <c r="AJ6" s="38">
        <v>15</v>
      </c>
    </row>
    <row r="7" spans="1:40" x14ac:dyDescent="0.2">
      <c r="A7" s="19" t="s">
        <v>424</v>
      </c>
      <c r="E7" s="40">
        <f>IF(Prozesskostenrechner!$C$4="",0,MIN(E$5,Prozesskostenrechner!$C$4))</f>
        <v>10000</v>
      </c>
      <c r="L7" s="19" t="s">
        <v>424</v>
      </c>
      <c r="P7" s="40">
        <f>IF(Prozesskostenrechner!$C$4="",0,MIN(P$5,Prozesskostenrechner!$C$4))</f>
        <v>10000</v>
      </c>
      <c r="V7" s="19" t="s">
        <v>424</v>
      </c>
      <c r="Z7" s="40">
        <f>IF(Prozesskostenrechner!$C$4="",0,MIN(Z$5,Prozesskostenrechner!$C$4))</f>
        <v>10000</v>
      </c>
      <c r="AF7" s="19" t="s">
        <v>424</v>
      </c>
      <c r="AJ7" s="40">
        <f>IF(Prozesskostenrechner!$C$4="",0,MIN(AJ$5,Prozesskostenrechner!$C$4))</f>
        <v>10000</v>
      </c>
    </row>
    <row r="8" spans="1:40" x14ac:dyDescent="0.2">
      <c r="A8" s="20" t="s">
        <v>104</v>
      </c>
      <c r="B8" s="20">
        <v>1</v>
      </c>
      <c r="C8" s="20">
        <v>2</v>
      </c>
      <c r="D8" s="20">
        <v>3</v>
      </c>
      <c r="E8" s="20">
        <v>4</v>
      </c>
      <c r="F8" s="20">
        <v>5</v>
      </c>
      <c r="G8" s="20">
        <v>6</v>
      </c>
      <c r="H8" s="20">
        <v>7</v>
      </c>
      <c r="I8" s="20">
        <v>8</v>
      </c>
      <c r="J8" s="20">
        <v>9</v>
      </c>
      <c r="L8" s="20" t="s">
        <v>104</v>
      </c>
      <c r="M8" s="20">
        <v>1</v>
      </c>
      <c r="N8" s="20">
        <v>2</v>
      </c>
      <c r="O8" s="20">
        <v>3</v>
      </c>
      <c r="P8" s="20">
        <v>4</v>
      </c>
      <c r="Q8" s="20">
        <v>5</v>
      </c>
      <c r="R8" s="20">
        <v>6</v>
      </c>
      <c r="S8" s="20">
        <v>7</v>
      </c>
      <c r="T8" s="20">
        <v>8</v>
      </c>
      <c r="V8" s="20" t="s">
        <v>104</v>
      </c>
      <c r="W8" s="20">
        <v>1</v>
      </c>
      <c r="X8" s="20">
        <v>2</v>
      </c>
      <c r="Y8" s="20">
        <v>3</v>
      </c>
      <c r="Z8" s="20">
        <v>4</v>
      </c>
      <c r="AA8" s="20">
        <v>5</v>
      </c>
      <c r="AB8" s="20">
        <v>6</v>
      </c>
      <c r="AC8" s="20">
        <v>7</v>
      </c>
      <c r="AD8" s="20">
        <v>8</v>
      </c>
      <c r="AF8" s="20" t="s">
        <v>104</v>
      </c>
      <c r="AG8" s="20">
        <v>1</v>
      </c>
      <c r="AH8" s="20">
        <v>2</v>
      </c>
      <c r="AI8" s="20">
        <v>3</v>
      </c>
      <c r="AJ8" s="20">
        <v>4</v>
      </c>
      <c r="AK8" s="20">
        <v>5</v>
      </c>
      <c r="AL8" s="20">
        <v>6</v>
      </c>
      <c r="AM8" s="20">
        <v>7</v>
      </c>
      <c r="AN8" s="20">
        <v>8</v>
      </c>
    </row>
    <row r="9" spans="1:40" x14ac:dyDescent="0.2">
      <c r="A9" s="20" t="s">
        <v>105</v>
      </c>
      <c r="B9" s="38">
        <v>0</v>
      </c>
      <c r="C9" s="40">
        <f>B10+0.01</f>
        <v>300.01</v>
      </c>
      <c r="D9" s="40">
        <f t="shared" ref="D9:J9" si="0">C10+0.01</f>
        <v>1500.01</v>
      </c>
      <c r="E9" s="40">
        <f t="shared" si="0"/>
        <v>5000.01</v>
      </c>
      <c r="F9" s="40">
        <f t="shared" si="0"/>
        <v>10000.01</v>
      </c>
      <c r="G9" s="40">
        <f t="shared" si="0"/>
        <v>25000.01</v>
      </c>
      <c r="H9" s="40">
        <f t="shared" si="0"/>
        <v>50000.01</v>
      </c>
      <c r="I9" s="40">
        <f t="shared" si="0"/>
        <v>200000.01</v>
      </c>
      <c r="J9" s="40">
        <f t="shared" si="0"/>
        <v>500000.01</v>
      </c>
      <c r="L9" s="20" t="s">
        <v>105</v>
      </c>
      <c r="M9" s="38">
        <v>0</v>
      </c>
      <c r="N9" s="40">
        <f>M10+0.01</f>
        <v>500.01</v>
      </c>
      <c r="O9" s="40">
        <f t="shared" ref="O9:T9" si="1">N10+0.01</f>
        <v>2000.01</v>
      </c>
      <c r="P9" s="40">
        <f t="shared" si="1"/>
        <v>10000.01</v>
      </c>
      <c r="Q9" s="40">
        <f t="shared" si="1"/>
        <v>25000.01</v>
      </c>
      <c r="R9" s="40">
        <f t="shared" si="1"/>
        <v>50000.01</v>
      </c>
      <c r="S9" s="40">
        <f t="shared" si="1"/>
        <v>200000.01</v>
      </c>
      <c r="T9" s="40">
        <f t="shared" si="1"/>
        <v>500000.01</v>
      </c>
      <c r="V9" s="20" t="s">
        <v>105</v>
      </c>
      <c r="W9" s="38">
        <v>0</v>
      </c>
      <c r="X9" s="40">
        <f>W10+0.01</f>
        <v>500.01</v>
      </c>
      <c r="Y9" s="40">
        <f t="shared" ref="Y9" si="2">X10+0.01</f>
        <v>2000.01</v>
      </c>
      <c r="Z9" s="40">
        <f t="shared" ref="Z9" si="3">Y10+0.01</f>
        <v>10000.01</v>
      </c>
      <c r="AA9" s="40">
        <f t="shared" ref="AA9" si="4">Z10+0.01</f>
        <v>25000.01</v>
      </c>
      <c r="AB9" s="40">
        <f t="shared" ref="AB9" si="5">AA10+0.01</f>
        <v>50000.01</v>
      </c>
      <c r="AC9" s="40">
        <f t="shared" ref="AC9" si="6">AB10+0.01</f>
        <v>200000.01</v>
      </c>
      <c r="AD9" s="40">
        <f t="shared" ref="AD9" si="7">AC10+0.01</f>
        <v>500000.01</v>
      </c>
      <c r="AF9" s="20" t="s">
        <v>105</v>
      </c>
      <c r="AG9" s="38">
        <v>0</v>
      </c>
      <c r="AH9" s="40">
        <f>AG10+0.01</f>
        <v>500.01</v>
      </c>
      <c r="AI9" s="40">
        <f t="shared" ref="AI9" si="8">AH10+0.01</f>
        <v>2000.01</v>
      </c>
      <c r="AJ9" s="40">
        <f t="shared" ref="AJ9" si="9">AI10+0.01</f>
        <v>10000.01</v>
      </c>
      <c r="AK9" s="40">
        <f t="shared" ref="AK9" si="10">AJ10+0.01</f>
        <v>25000.01</v>
      </c>
      <c r="AL9" s="40">
        <f t="shared" ref="AL9" si="11">AK10+0.01</f>
        <v>50000.01</v>
      </c>
      <c r="AM9" s="40">
        <f t="shared" ref="AM9" si="12">AL10+0.01</f>
        <v>200000.01</v>
      </c>
      <c r="AN9" s="40">
        <f t="shared" ref="AN9" si="13">AM10+0.01</f>
        <v>500000.01</v>
      </c>
    </row>
    <row r="10" spans="1:40" x14ac:dyDescent="0.2">
      <c r="A10" s="20" t="s">
        <v>106</v>
      </c>
      <c r="B10" s="38">
        <v>300</v>
      </c>
      <c r="C10" s="38">
        <v>1500</v>
      </c>
      <c r="D10" s="38">
        <v>5000</v>
      </c>
      <c r="E10" s="38">
        <v>10000</v>
      </c>
      <c r="F10" s="38">
        <v>25000</v>
      </c>
      <c r="G10" s="38">
        <v>50000</v>
      </c>
      <c r="H10" s="38">
        <v>200000</v>
      </c>
      <c r="I10" s="38">
        <v>500000</v>
      </c>
      <c r="J10" s="38"/>
      <c r="L10" s="20" t="s">
        <v>106</v>
      </c>
      <c r="M10" s="38">
        <v>500</v>
      </c>
      <c r="N10" s="38">
        <v>2000</v>
      </c>
      <c r="O10" s="38">
        <v>10000</v>
      </c>
      <c r="P10" s="38">
        <v>25000</v>
      </c>
      <c r="Q10" s="38">
        <v>50000</v>
      </c>
      <c r="R10" s="38">
        <v>200000</v>
      </c>
      <c r="S10" s="38">
        <v>500000</v>
      </c>
      <c r="T10" s="38"/>
      <c r="V10" s="20" t="s">
        <v>106</v>
      </c>
      <c r="W10" s="38">
        <v>500</v>
      </c>
      <c r="X10" s="38">
        <v>2000</v>
      </c>
      <c r="Y10" s="38">
        <v>10000</v>
      </c>
      <c r="Z10" s="38">
        <v>25000</v>
      </c>
      <c r="AA10" s="38">
        <v>50000</v>
      </c>
      <c r="AB10" s="38">
        <v>200000</v>
      </c>
      <c r="AC10" s="38">
        <v>500000</v>
      </c>
      <c r="AD10" s="38"/>
      <c r="AF10" s="20" t="s">
        <v>106</v>
      </c>
      <c r="AG10" s="38">
        <v>500</v>
      </c>
      <c r="AH10" s="38">
        <v>2000</v>
      </c>
      <c r="AI10" s="38">
        <v>10000</v>
      </c>
      <c r="AJ10" s="38">
        <v>25000</v>
      </c>
      <c r="AK10" s="38">
        <v>50000</v>
      </c>
      <c r="AL10" s="38">
        <v>200000</v>
      </c>
      <c r="AM10" s="38">
        <v>500000</v>
      </c>
      <c r="AN10" s="38"/>
    </row>
    <row r="11" spans="1:40" x14ac:dyDescent="0.2">
      <c r="A11" s="20" t="s">
        <v>107</v>
      </c>
      <c r="B11" s="40">
        <f>B10</f>
        <v>300</v>
      </c>
      <c r="C11" s="38">
        <v>300</v>
      </c>
      <c r="D11" s="38">
        <v>500</v>
      </c>
      <c r="E11" s="38">
        <v>1000</v>
      </c>
      <c r="F11" s="38">
        <v>3000</v>
      </c>
      <c r="G11" s="38">
        <v>5000</v>
      </c>
      <c r="H11" s="38">
        <v>15000</v>
      </c>
      <c r="I11" s="38">
        <v>30000</v>
      </c>
      <c r="J11" s="38">
        <v>50000</v>
      </c>
      <c r="L11" s="20" t="s">
        <v>107</v>
      </c>
      <c r="M11" s="40">
        <f>M10</f>
        <v>500</v>
      </c>
      <c r="N11" s="38">
        <v>500</v>
      </c>
      <c r="O11" s="38">
        <v>1000</v>
      </c>
      <c r="P11" s="38">
        <v>3000</v>
      </c>
      <c r="Q11" s="38">
        <v>5000</v>
      </c>
      <c r="R11" s="38">
        <v>15000</v>
      </c>
      <c r="S11" s="38">
        <v>30000</v>
      </c>
      <c r="T11" s="38">
        <v>50000</v>
      </c>
      <c r="V11" s="20" t="s">
        <v>107</v>
      </c>
      <c r="W11" s="40">
        <f>W10</f>
        <v>500</v>
      </c>
      <c r="X11" s="38">
        <v>500</v>
      </c>
      <c r="Y11" s="38">
        <v>1000</v>
      </c>
      <c r="Z11" s="38">
        <v>3000</v>
      </c>
      <c r="AA11" s="38">
        <v>5000</v>
      </c>
      <c r="AB11" s="38">
        <v>15000</v>
      </c>
      <c r="AC11" s="38">
        <v>30000</v>
      </c>
      <c r="AD11" s="38">
        <v>50000</v>
      </c>
      <c r="AF11" s="20" t="s">
        <v>107</v>
      </c>
      <c r="AG11" s="40">
        <f>AG10</f>
        <v>500</v>
      </c>
      <c r="AH11" s="38">
        <v>500</v>
      </c>
      <c r="AI11" s="38">
        <v>1000</v>
      </c>
      <c r="AJ11" s="38">
        <v>3000</v>
      </c>
      <c r="AK11" s="38">
        <v>5000</v>
      </c>
      <c r="AL11" s="38">
        <v>15000</v>
      </c>
      <c r="AM11" s="38">
        <v>30000</v>
      </c>
      <c r="AN11" s="38">
        <v>50000</v>
      </c>
    </row>
    <row r="12" spans="1:40" x14ac:dyDescent="0.2">
      <c r="A12" s="20" t="s">
        <v>108</v>
      </c>
      <c r="B12" s="38">
        <v>25</v>
      </c>
      <c r="C12" s="38">
        <v>10</v>
      </c>
      <c r="D12" s="38">
        <v>8</v>
      </c>
      <c r="E12" s="38">
        <v>15</v>
      </c>
      <c r="F12" s="38">
        <v>23</v>
      </c>
      <c r="G12" s="38">
        <v>29</v>
      </c>
      <c r="H12" s="38">
        <v>100</v>
      </c>
      <c r="I12" s="38">
        <v>150</v>
      </c>
      <c r="J12" s="38">
        <v>150</v>
      </c>
      <c r="L12" s="20" t="s">
        <v>108</v>
      </c>
      <c r="M12" s="38">
        <v>35</v>
      </c>
      <c r="N12" s="38">
        <v>18</v>
      </c>
      <c r="O12" s="38">
        <v>19</v>
      </c>
      <c r="P12" s="38">
        <v>26</v>
      </c>
      <c r="Q12" s="38">
        <v>35</v>
      </c>
      <c r="R12" s="38">
        <v>120</v>
      </c>
      <c r="S12" s="38">
        <v>179</v>
      </c>
      <c r="T12" s="38">
        <v>180</v>
      </c>
      <c r="V12" s="20" t="s">
        <v>108</v>
      </c>
      <c r="W12" s="38">
        <v>38</v>
      </c>
      <c r="X12" s="38">
        <v>20</v>
      </c>
      <c r="Y12" s="38">
        <v>21</v>
      </c>
      <c r="Z12" s="38">
        <v>29</v>
      </c>
      <c r="AA12" s="38">
        <v>38</v>
      </c>
      <c r="AB12" s="38">
        <v>132</v>
      </c>
      <c r="AC12" s="38">
        <v>198</v>
      </c>
      <c r="AD12" s="38">
        <v>198</v>
      </c>
      <c r="AF12" s="20" t="s">
        <v>108</v>
      </c>
      <c r="AG12" s="38">
        <v>40</v>
      </c>
      <c r="AH12" s="38">
        <v>21</v>
      </c>
      <c r="AI12" s="38">
        <v>22.5</v>
      </c>
      <c r="AJ12" s="38">
        <v>30.5</v>
      </c>
      <c r="AK12" s="38">
        <v>40.5</v>
      </c>
      <c r="AL12" s="38">
        <v>140</v>
      </c>
      <c r="AM12" s="38">
        <v>210</v>
      </c>
      <c r="AN12" s="38">
        <v>210</v>
      </c>
    </row>
    <row r="13" spans="1:40" x14ac:dyDescent="0.2">
      <c r="A13" s="20" t="s">
        <v>421</v>
      </c>
      <c r="B13" s="41">
        <v>1</v>
      </c>
      <c r="C13" s="41">
        <f t="shared" ref="C13:I13" si="14">MAX(0,ROUNDDOWN((MIN($E$7,C10)-C9)/C11+1,0))</f>
        <v>4</v>
      </c>
      <c r="D13" s="41">
        <f t="shared" si="14"/>
        <v>7</v>
      </c>
      <c r="E13" s="41">
        <f t="shared" si="14"/>
        <v>5</v>
      </c>
      <c r="F13" s="41">
        <f t="shared" si="14"/>
        <v>0</v>
      </c>
      <c r="G13" s="41">
        <f t="shared" si="14"/>
        <v>0</v>
      </c>
      <c r="H13" s="41">
        <f t="shared" si="14"/>
        <v>0</v>
      </c>
      <c r="I13" s="41">
        <f t="shared" si="14"/>
        <v>0</v>
      </c>
      <c r="J13" s="41">
        <f>MAX(0,ROUNDDOWN(($E$7-J9)/J11+1,0))</f>
        <v>0</v>
      </c>
      <c r="L13" s="20" t="s">
        <v>421</v>
      </c>
      <c r="M13" s="41">
        <v>1</v>
      </c>
      <c r="N13" s="41">
        <f t="shared" ref="N13:S13" si="15">MAX(0,ROUNDDOWN((MIN($E$7,N10)-N9)/N11+1,0))</f>
        <v>3</v>
      </c>
      <c r="O13" s="41">
        <f t="shared" si="15"/>
        <v>8</v>
      </c>
      <c r="P13" s="41">
        <f t="shared" si="15"/>
        <v>0</v>
      </c>
      <c r="Q13" s="41">
        <f t="shared" si="15"/>
        <v>0</v>
      </c>
      <c r="R13" s="41">
        <f t="shared" si="15"/>
        <v>0</v>
      </c>
      <c r="S13" s="41">
        <f t="shared" si="15"/>
        <v>0</v>
      </c>
      <c r="T13" s="41">
        <f>MAX(0,ROUNDDOWN(($E$7-T9)/T11+1,0))</f>
        <v>0</v>
      </c>
      <c r="V13" s="20" t="s">
        <v>421</v>
      </c>
      <c r="W13" s="41">
        <v>1</v>
      </c>
      <c r="X13" s="41">
        <f t="shared" ref="X13:AC13" si="16">MAX(0,ROUNDDOWN((MIN($E$7,X10)-X9)/X11+1,0))</f>
        <v>3</v>
      </c>
      <c r="Y13" s="41">
        <f t="shared" si="16"/>
        <v>8</v>
      </c>
      <c r="Z13" s="41">
        <f t="shared" si="16"/>
        <v>0</v>
      </c>
      <c r="AA13" s="41">
        <f t="shared" si="16"/>
        <v>0</v>
      </c>
      <c r="AB13" s="41">
        <f t="shared" si="16"/>
        <v>0</v>
      </c>
      <c r="AC13" s="41">
        <f t="shared" si="16"/>
        <v>0</v>
      </c>
      <c r="AD13" s="41">
        <f>MAX(0,ROUNDDOWN(($E$7-AD9)/AD11+1,0))</f>
        <v>0</v>
      </c>
      <c r="AF13" s="20" t="s">
        <v>421</v>
      </c>
      <c r="AG13" s="41">
        <v>1</v>
      </c>
      <c r="AH13" s="41">
        <f t="shared" ref="AH13:AM13" si="17">MAX(0,ROUNDDOWN((MIN($E$7,AH10)-AH9)/AH11+1,0))</f>
        <v>3</v>
      </c>
      <c r="AI13" s="41">
        <f t="shared" si="17"/>
        <v>8</v>
      </c>
      <c r="AJ13" s="41">
        <f t="shared" si="17"/>
        <v>0</v>
      </c>
      <c r="AK13" s="41">
        <f t="shared" si="17"/>
        <v>0</v>
      </c>
      <c r="AL13" s="41">
        <f t="shared" si="17"/>
        <v>0</v>
      </c>
      <c r="AM13" s="41">
        <f t="shared" si="17"/>
        <v>0</v>
      </c>
      <c r="AN13" s="41">
        <f>MAX(0,ROUNDDOWN(($E$7-AN9)/AN11+1,0))</f>
        <v>0</v>
      </c>
    </row>
    <row r="14" spans="1:40" x14ac:dyDescent="0.2">
      <c r="A14" s="20" t="s">
        <v>422</v>
      </c>
      <c r="B14" s="40">
        <f>B13*B11</f>
        <v>300</v>
      </c>
      <c r="C14" s="40">
        <f>C13*C11</f>
        <v>1200</v>
      </c>
      <c r="D14" s="40">
        <f>D13*D11</f>
        <v>3500</v>
      </c>
      <c r="E14" s="40">
        <f t="shared" ref="E14:J14" si="18">E13*E11</f>
        <v>5000</v>
      </c>
      <c r="F14" s="40">
        <f t="shared" si="18"/>
        <v>0</v>
      </c>
      <c r="G14" s="40">
        <f t="shared" si="18"/>
        <v>0</v>
      </c>
      <c r="H14" s="40">
        <f t="shared" si="18"/>
        <v>0</v>
      </c>
      <c r="I14" s="40">
        <f t="shared" si="18"/>
        <v>0</v>
      </c>
      <c r="J14" s="40">
        <f t="shared" si="18"/>
        <v>0</v>
      </c>
      <c r="L14" s="20" t="s">
        <v>422</v>
      </c>
      <c r="M14" s="40">
        <f t="shared" ref="M14:S14" si="19">M13*M11</f>
        <v>500</v>
      </c>
      <c r="N14" s="40">
        <f t="shared" si="19"/>
        <v>1500</v>
      </c>
      <c r="O14" s="40">
        <f t="shared" si="19"/>
        <v>8000</v>
      </c>
      <c r="P14" s="40">
        <f t="shared" si="19"/>
        <v>0</v>
      </c>
      <c r="Q14" s="40">
        <f t="shared" si="19"/>
        <v>0</v>
      </c>
      <c r="R14" s="40">
        <f t="shared" si="19"/>
        <v>0</v>
      </c>
      <c r="S14" s="40">
        <f t="shared" si="19"/>
        <v>0</v>
      </c>
      <c r="T14" s="40">
        <f>T13*T11</f>
        <v>0</v>
      </c>
      <c r="V14" s="20" t="s">
        <v>422</v>
      </c>
      <c r="W14" s="40">
        <f t="shared" ref="W14:AC14" si="20">W13*W11</f>
        <v>500</v>
      </c>
      <c r="X14" s="40">
        <f t="shared" si="20"/>
        <v>1500</v>
      </c>
      <c r="Y14" s="40">
        <f t="shared" si="20"/>
        <v>8000</v>
      </c>
      <c r="Z14" s="40">
        <f t="shared" si="20"/>
        <v>0</v>
      </c>
      <c r="AA14" s="40">
        <f t="shared" si="20"/>
        <v>0</v>
      </c>
      <c r="AB14" s="40">
        <f t="shared" si="20"/>
        <v>0</v>
      </c>
      <c r="AC14" s="40">
        <f t="shared" si="20"/>
        <v>0</v>
      </c>
      <c r="AD14" s="40">
        <f>AD13*AD11</f>
        <v>0</v>
      </c>
      <c r="AF14" s="20" t="s">
        <v>422</v>
      </c>
      <c r="AG14" s="40">
        <f t="shared" ref="AG14:AM14" si="21">AG13*AG11</f>
        <v>500</v>
      </c>
      <c r="AH14" s="40">
        <f t="shared" si="21"/>
        <v>1500</v>
      </c>
      <c r="AI14" s="40">
        <f t="shared" si="21"/>
        <v>8000</v>
      </c>
      <c r="AJ14" s="40">
        <f t="shared" si="21"/>
        <v>0</v>
      </c>
      <c r="AK14" s="40">
        <f t="shared" si="21"/>
        <v>0</v>
      </c>
      <c r="AL14" s="40">
        <f t="shared" si="21"/>
        <v>0</v>
      </c>
      <c r="AM14" s="40">
        <f t="shared" si="21"/>
        <v>0</v>
      </c>
      <c r="AN14" s="40">
        <f>AN13*AN11</f>
        <v>0</v>
      </c>
    </row>
    <row r="15" spans="1:40" x14ac:dyDescent="0.2">
      <c r="A15" s="20" t="s">
        <v>415</v>
      </c>
      <c r="B15" s="38"/>
      <c r="C15" s="38"/>
      <c r="D15" s="38"/>
      <c r="E15" s="40">
        <f>SUM(B14:J14)</f>
        <v>10000</v>
      </c>
      <c r="F15" s="38"/>
      <c r="G15" s="38"/>
      <c r="H15" s="38"/>
      <c r="I15" s="38"/>
      <c r="J15" s="38"/>
      <c r="L15" s="20" t="s">
        <v>415</v>
      </c>
      <c r="M15" s="38"/>
      <c r="N15" s="38"/>
      <c r="O15" s="38"/>
      <c r="P15" s="40">
        <f>SUM(M14:T14)</f>
        <v>10000</v>
      </c>
      <c r="Q15" s="38"/>
      <c r="R15" s="38"/>
      <c r="S15" s="38"/>
      <c r="T15" s="38"/>
      <c r="V15" s="20" t="s">
        <v>415</v>
      </c>
      <c r="W15" s="38"/>
      <c r="X15" s="38"/>
      <c r="Y15" s="38"/>
      <c r="Z15" s="40">
        <f>SUM(W14:AD14)</f>
        <v>10000</v>
      </c>
      <c r="AA15" s="38"/>
      <c r="AB15" s="38"/>
      <c r="AC15" s="38"/>
      <c r="AD15" s="38"/>
      <c r="AF15" s="20" t="s">
        <v>415</v>
      </c>
      <c r="AG15" s="38"/>
      <c r="AH15" s="38"/>
      <c r="AI15" s="38"/>
      <c r="AJ15" s="40">
        <f>SUM(AG14:AN14)</f>
        <v>10000</v>
      </c>
      <c r="AK15" s="38"/>
      <c r="AL15" s="38"/>
      <c r="AM15" s="38"/>
      <c r="AN15" s="38"/>
    </row>
    <row r="16" spans="1:40" x14ac:dyDescent="0.2">
      <c r="A16" s="20" t="s">
        <v>423</v>
      </c>
      <c r="B16" s="40">
        <f>B13*B12</f>
        <v>25</v>
      </c>
      <c r="C16" s="40">
        <f t="shared" ref="C16:J16" si="22">C13*C12</f>
        <v>40</v>
      </c>
      <c r="D16" s="40">
        <f t="shared" si="22"/>
        <v>56</v>
      </c>
      <c r="E16" s="40">
        <f t="shared" si="22"/>
        <v>75</v>
      </c>
      <c r="F16" s="40">
        <f t="shared" si="22"/>
        <v>0</v>
      </c>
      <c r="G16" s="40">
        <f t="shared" si="22"/>
        <v>0</v>
      </c>
      <c r="H16" s="40">
        <f t="shared" si="22"/>
        <v>0</v>
      </c>
      <c r="I16" s="40">
        <f t="shared" si="22"/>
        <v>0</v>
      </c>
      <c r="J16" s="40">
        <f t="shared" si="22"/>
        <v>0</v>
      </c>
      <c r="L16" s="20" t="s">
        <v>423</v>
      </c>
      <c r="M16" s="40">
        <f>M13*M12</f>
        <v>35</v>
      </c>
      <c r="N16" s="40">
        <f t="shared" ref="N16:S16" si="23">N13*N12</f>
        <v>54</v>
      </c>
      <c r="O16" s="40">
        <f t="shared" si="23"/>
        <v>152</v>
      </c>
      <c r="P16" s="40">
        <f t="shared" si="23"/>
        <v>0</v>
      </c>
      <c r="Q16" s="40">
        <f t="shared" si="23"/>
        <v>0</v>
      </c>
      <c r="R16" s="40">
        <f t="shared" si="23"/>
        <v>0</v>
      </c>
      <c r="S16" s="40">
        <f t="shared" si="23"/>
        <v>0</v>
      </c>
      <c r="T16" s="40">
        <f>T13*T12</f>
        <v>0</v>
      </c>
      <c r="V16" s="20" t="s">
        <v>423</v>
      </c>
      <c r="W16" s="40">
        <f>W13*W12</f>
        <v>38</v>
      </c>
      <c r="X16" s="40">
        <f t="shared" ref="X16:AC16" si="24">X13*X12</f>
        <v>60</v>
      </c>
      <c r="Y16" s="40">
        <f t="shared" si="24"/>
        <v>168</v>
      </c>
      <c r="Z16" s="40">
        <f t="shared" si="24"/>
        <v>0</v>
      </c>
      <c r="AA16" s="40">
        <f t="shared" si="24"/>
        <v>0</v>
      </c>
      <c r="AB16" s="40">
        <f t="shared" si="24"/>
        <v>0</v>
      </c>
      <c r="AC16" s="40">
        <f t="shared" si="24"/>
        <v>0</v>
      </c>
      <c r="AD16" s="40">
        <f>AD13*AD12</f>
        <v>0</v>
      </c>
      <c r="AF16" s="20" t="s">
        <v>423</v>
      </c>
      <c r="AG16" s="40">
        <f>AG13*AG12</f>
        <v>40</v>
      </c>
      <c r="AH16" s="40">
        <f t="shared" ref="AH16:AM16" si="25">AH13*AH12</f>
        <v>63</v>
      </c>
      <c r="AI16" s="40">
        <f t="shared" si="25"/>
        <v>180</v>
      </c>
      <c r="AJ16" s="40">
        <f t="shared" si="25"/>
        <v>0</v>
      </c>
      <c r="AK16" s="40">
        <f t="shared" si="25"/>
        <v>0</v>
      </c>
      <c r="AL16" s="40">
        <f t="shared" si="25"/>
        <v>0</v>
      </c>
      <c r="AM16" s="40">
        <f t="shared" si="25"/>
        <v>0</v>
      </c>
      <c r="AN16" s="40">
        <f>AN13*AN12</f>
        <v>0</v>
      </c>
    </row>
    <row r="17" spans="1:40" x14ac:dyDescent="0.2">
      <c r="A17" s="20" t="s">
        <v>110</v>
      </c>
      <c r="B17" s="38"/>
      <c r="C17" s="38"/>
      <c r="D17" s="38"/>
      <c r="E17" s="40">
        <f>SUM(B16:J16)</f>
        <v>196</v>
      </c>
      <c r="F17" s="38"/>
      <c r="G17" s="38"/>
      <c r="H17" s="38"/>
      <c r="I17" s="38"/>
      <c r="J17" s="38"/>
      <c r="L17" s="20" t="s">
        <v>110</v>
      </c>
      <c r="M17" s="38"/>
      <c r="N17" s="38"/>
      <c r="O17" s="38"/>
      <c r="P17" s="40">
        <f>SUM(M16:T16)</f>
        <v>241</v>
      </c>
      <c r="Q17" s="38"/>
      <c r="R17" s="38"/>
      <c r="S17" s="38"/>
      <c r="T17" s="38"/>
      <c r="U17" s="38"/>
      <c r="V17" s="20" t="s">
        <v>110</v>
      </c>
      <c r="W17" s="38"/>
      <c r="X17" s="38"/>
      <c r="Y17" s="38"/>
      <c r="Z17" s="40">
        <f>SUM(W16:AD16)</f>
        <v>266</v>
      </c>
      <c r="AA17" s="38"/>
      <c r="AB17" s="38"/>
      <c r="AC17" s="38"/>
      <c r="AD17" s="38"/>
      <c r="AF17" s="20" t="s">
        <v>110</v>
      </c>
      <c r="AG17" s="38"/>
      <c r="AH17" s="38"/>
      <c r="AI17" s="38"/>
      <c r="AJ17" s="40">
        <f>SUM(AG16:AN16)</f>
        <v>283</v>
      </c>
      <c r="AK17" s="38"/>
      <c r="AL17" s="38"/>
      <c r="AM17" s="38"/>
      <c r="AN17" s="38"/>
    </row>
    <row r="18" spans="1:40" x14ac:dyDescent="0.2">
      <c r="B18" s="38"/>
      <c r="C18" s="38"/>
      <c r="D18" s="38"/>
      <c r="E18" s="38"/>
      <c r="F18" s="38"/>
      <c r="G18" s="38"/>
      <c r="H18" s="38"/>
      <c r="I18" s="38"/>
      <c r="J18" s="38"/>
      <c r="M18" s="38"/>
      <c r="N18" s="38"/>
      <c r="O18" s="38"/>
      <c r="P18" s="38"/>
      <c r="Q18" s="38"/>
      <c r="R18" s="38"/>
      <c r="S18" s="38"/>
      <c r="T18" s="38"/>
      <c r="U18" s="38"/>
    </row>
    <row r="19" spans="1:40" x14ac:dyDescent="0.2">
      <c r="A19" s="18" t="s">
        <v>171</v>
      </c>
      <c r="B19" s="38"/>
      <c r="C19" s="38"/>
      <c r="D19" s="38"/>
      <c r="E19" s="38"/>
      <c r="F19" s="38"/>
      <c r="G19" s="38"/>
      <c r="H19" s="38"/>
      <c r="I19" s="38"/>
      <c r="J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1:40" x14ac:dyDescent="0.2">
      <c r="A20" s="19" t="s">
        <v>424</v>
      </c>
      <c r="B20" s="38"/>
      <c r="C20" s="38"/>
      <c r="D20" s="38"/>
      <c r="E20" s="40">
        <f ca="1">IF($B$1=$E$4,$E7,IF($B$1=$P$4,$P7,IF($B$1=$Z$4,$Z7,IF($B$1=$AJ$4,$AJ7,""))))</f>
        <v>10000</v>
      </c>
      <c r="F20" s="38"/>
      <c r="G20" s="38"/>
      <c r="H20" s="38"/>
      <c r="I20" s="38"/>
      <c r="J20" s="38"/>
      <c r="M20" s="38"/>
      <c r="N20" s="38"/>
      <c r="O20" s="38"/>
      <c r="P20" s="38"/>
      <c r="Q20" s="38"/>
      <c r="R20" s="38"/>
      <c r="S20" s="38"/>
      <c r="T20" s="38"/>
      <c r="U20" s="38"/>
    </row>
    <row r="21" spans="1:40" x14ac:dyDescent="0.2">
      <c r="A21" s="20" t="s">
        <v>499</v>
      </c>
      <c r="B21" s="38"/>
      <c r="C21" s="38"/>
      <c r="D21" s="38"/>
      <c r="E21" s="40">
        <f ca="1">IF($B$1=$E$4,$E6,IF($B$1=$P$4,$P6,IF($B$1=$Z$4,$Z6,IF($B$1=$AJ$4,$AJ6,""))))</f>
        <v>15</v>
      </c>
      <c r="F21" s="38"/>
      <c r="G21" s="38"/>
      <c r="H21" s="38"/>
      <c r="I21" s="38"/>
      <c r="J21" s="38"/>
      <c r="M21" s="38"/>
      <c r="N21" s="38"/>
      <c r="O21" s="38"/>
      <c r="P21" s="38"/>
      <c r="Q21" s="38"/>
      <c r="R21" s="38"/>
      <c r="S21" s="38"/>
      <c r="T21" s="38"/>
      <c r="U21" s="38"/>
    </row>
    <row r="22" spans="1:40" x14ac:dyDescent="0.2">
      <c r="A22" s="20" t="s">
        <v>415</v>
      </c>
      <c r="B22" s="38"/>
      <c r="C22" s="38"/>
      <c r="D22" s="38"/>
      <c r="E22" s="40">
        <f ca="1">IF($B$1=$E$4,$E15,IF($B$1=$P$4,$P15,IF($B$1=$Z$4,$Z15,IF($B$1=$AJ$4,$AJ15,""))))</f>
        <v>10000</v>
      </c>
      <c r="F22" s="38"/>
      <c r="G22" s="38"/>
      <c r="H22" s="38"/>
      <c r="I22" s="38"/>
      <c r="J22" s="38"/>
      <c r="M22" s="38"/>
      <c r="N22" s="38"/>
      <c r="O22" s="38"/>
      <c r="P22" s="38"/>
      <c r="Q22" s="38"/>
      <c r="R22" s="38"/>
      <c r="S22" s="38"/>
      <c r="T22" s="38"/>
      <c r="U22" s="38"/>
    </row>
    <row r="23" spans="1:40" x14ac:dyDescent="0.2">
      <c r="A23" s="20" t="s">
        <v>110</v>
      </c>
      <c r="B23" s="38"/>
      <c r="C23" s="38"/>
      <c r="D23" s="38"/>
      <c r="E23" s="40">
        <f ca="1">IF($B$1=$E$4,$E17,IF($B$1=$P$4,$P17,IF($B$1=$Z$4,$Z17,IF($B$1=$AJ$4,$AJ17,""))))</f>
        <v>283</v>
      </c>
      <c r="F23" s="38"/>
      <c r="G23" s="38"/>
      <c r="H23" s="38"/>
      <c r="I23" s="38"/>
      <c r="J23" s="38"/>
      <c r="M23" s="38"/>
      <c r="N23" s="38"/>
      <c r="O23" s="38"/>
      <c r="P23" s="38"/>
      <c r="Q23" s="38"/>
      <c r="R23" s="38"/>
      <c r="S23" s="38"/>
      <c r="T23" s="38"/>
      <c r="U23" s="38"/>
    </row>
    <row r="25" spans="1:40" x14ac:dyDescent="0.2">
      <c r="A25" s="18" t="s">
        <v>71</v>
      </c>
      <c r="L25" s="18"/>
    </row>
    <row r="26" spans="1:40" x14ac:dyDescent="0.2">
      <c r="A26" s="19" t="s">
        <v>432</v>
      </c>
      <c r="E26" s="42" t="s">
        <v>145</v>
      </c>
      <c r="L26" s="19" t="s">
        <v>432</v>
      </c>
      <c r="P26" s="42" t="s">
        <v>777</v>
      </c>
      <c r="V26" s="19" t="s">
        <v>432</v>
      </c>
      <c r="Z26" s="42" t="s">
        <v>871</v>
      </c>
      <c r="AF26" s="19" t="s">
        <v>432</v>
      </c>
      <c r="AJ26" s="42" t="s">
        <v>872</v>
      </c>
    </row>
    <row r="27" spans="1:40" x14ac:dyDescent="0.2">
      <c r="A27" s="19" t="s">
        <v>417</v>
      </c>
      <c r="C27" s="38"/>
      <c r="E27" s="38">
        <v>30000000</v>
      </c>
      <c r="L27" s="19" t="s">
        <v>417</v>
      </c>
      <c r="M27" s="39"/>
      <c r="P27" s="38">
        <v>30000000</v>
      </c>
      <c r="V27" s="19" t="s">
        <v>417</v>
      </c>
      <c r="W27" s="39"/>
      <c r="Z27" s="38">
        <v>30000000</v>
      </c>
      <c r="AF27" s="19" t="s">
        <v>417</v>
      </c>
      <c r="AG27" s="39"/>
      <c r="AJ27" s="38">
        <v>30000000</v>
      </c>
    </row>
    <row r="28" spans="1:40" x14ac:dyDescent="0.2">
      <c r="A28" s="20" t="s">
        <v>420</v>
      </c>
      <c r="E28" s="38">
        <v>10</v>
      </c>
      <c r="L28" s="20" t="s">
        <v>420</v>
      </c>
      <c r="M28" s="39"/>
      <c r="P28" s="38">
        <v>15</v>
      </c>
      <c r="V28" s="20" t="s">
        <v>420</v>
      </c>
      <c r="W28" s="39"/>
      <c r="Z28" s="38">
        <v>15</v>
      </c>
      <c r="AF28" s="20" t="s">
        <v>420</v>
      </c>
      <c r="AG28" s="39"/>
      <c r="AJ28" s="38">
        <v>15</v>
      </c>
    </row>
    <row r="29" spans="1:40" x14ac:dyDescent="0.2">
      <c r="A29" s="19" t="s">
        <v>425</v>
      </c>
      <c r="E29" s="40">
        <f>IF(Prozesskostenrechner!$C$4="",0,MIN(E$27,Prozesskostenrechner!$C$4))</f>
        <v>10000</v>
      </c>
      <c r="L29" s="19" t="s">
        <v>425</v>
      </c>
      <c r="P29" s="40">
        <f>IF(Prozesskostenrechner!$C$4="",0,MIN(P$27,Prozesskostenrechner!$C$4))</f>
        <v>10000</v>
      </c>
      <c r="V29" s="19" t="s">
        <v>425</v>
      </c>
      <c r="Z29" s="40">
        <f>IF(Prozesskostenrechner!$C$4="",0,MIN(Z$27,Prozesskostenrechner!$C$4))</f>
        <v>10000</v>
      </c>
      <c r="AF29" s="19" t="s">
        <v>425</v>
      </c>
      <c r="AJ29" s="40">
        <f>IF(Prozesskostenrechner!$C$4="",0,MIN(AJ$27,Prozesskostenrechner!$C$4))</f>
        <v>10000</v>
      </c>
    </row>
    <row r="30" spans="1:40" x14ac:dyDescent="0.2">
      <c r="A30" s="20" t="s">
        <v>104</v>
      </c>
      <c r="B30" s="20">
        <v>1</v>
      </c>
      <c r="C30" s="20">
        <v>2</v>
      </c>
      <c r="D30" s="20">
        <v>3</v>
      </c>
      <c r="E30" s="20">
        <v>4</v>
      </c>
      <c r="F30" s="20">
        <v>5</v>
      </c>
      <c r="G30" s="20">
        <v>6</v>
      </c>
      <c r="H30" s="20">
        <v>7</v>
      </c>
      <c r="I30" s="20">
        <v>8</v>
      </c>
      <c r="J30" s="20">
        <v>9</v>
      </c>
      <c r="L30" s="20" t="s">
        <v>104</v>
      </c>
      <c r="M30" s="20">
        <v>1</v>
      </c>
      <c r="N30" s="20">
        <v>2</v>
      </c>
      <c r="O30" s="20">
        <v>3</v>
      </c>
      <c r="P30" s="20">
        <v>4</v>
      </c>
      <c r="Q30" s="20">
        <v>5</v>
      </c>
      <c r="R30" s="20">
        <v>6</v>
      </c>
      <c r="S30" s="20">
        <v>7</v>
      </c>
      <c r="T30" s="20">
        <v>8</v>
      </c>
      <c r="V30" s="20" t="s">
        <v>104</v>
      </c>
      <c r="W30" s="20">
        <v>1</v>
      </c>
      <c r="X30" s="20">
        <v>2</v>
      </c>
      <c r="Y30" s="20">
        <v>3</v>
      </c>
      <c r="Z30" s="20">
        <v>4</v>
      </c>
      <c r="AA30" s="20">
        <v>5</v>
      </c>
      <c r="AB30" s="20">
        <v>6</v>
      </c>
      <c r="AC30" s="20">
        <v>7</v>
      </c>
      <c r="AD30" s="20">
        <v>8</v>
      </c>
      <c r="AF30" s="20" t="s">
        <v>104</v>
      </c>
      <c r="AG30" s="20">
        <v>1</v>
      </c>
      <c r="AH30" s="20">
        <v>2</v>
      </c>
      <c r="AI30" s="20">
        <v>3</v>
      </c>
      <c r="AJ30" s="20">
        <v>4</v>
      </c>
      <c r="AK30" s="20">
        <v>5</v>
      </c>
      <c r="AL30" s="20">
        <v>6</v>
      </c>
      <c r="AM30" s="20">
        <v>7</v>
      </c>
      <c r="AN30" s="20">
        <v>8</v>
      </c>
    </row>
    <row r="31" spans="1:40" x14ac:dyDescent="0.2">
      <c r="A31" s="20" t="s">
        <v>105</v>
      </c>
      <c r="B31" s="38">
        <v>0</v>
      </c>
      <c r="C31" s="40">
        <f t="shared" ref="C31:J31" si="26">B32+0.01</f>
        <v>300.01</v>
      </c>
      <c r="D31" s="40">
        <f t="shared" si="26"/>
        <v>1500.01</v>
      </c>
      <c r="E31" s="40">
        <f t="shared" si="26"/>
        <v>5000.01</v>
      </c>
      <c r="F31" s="40">
        <f t="shared" si="26"/>
        <v>10000.01</v>
      </c>
      <c r="G31" s="40">
        <f t="shared" si="26"/>
        <v>25000.01</v>
      </c>
      <c r="H31" s="40">
        <f t="shared" si="26"/>
        <v>50000.01</v>
      </c>
      <c r="I31" s="40">
        <f t="shared" si="26"/>
        <v>200000.01</v>
      </c>
      <c r="J31" s="40">
        <f t="shared" si="26"/>
        <v>500000.01</v>
      </c>
      <c r="L31" s="20" t="s">
        <v>105</v>
      </c>
      <c r="M31" s="38">
        <v>0</v>
      </c>
      <c r="N31" s="40">
        <f t="shared" ref="N31:T31" si="27">M32+0.01</f>
        <v>500.01</v>
      </c>
      <c r="O31" s="40">
        <f t="shared" si="27"/>
        <v>2000.01</v>
      </c>
      <c r="P31" s="40">
        <f t="shared" si="27"/>
        <v>10000.01</v>
      </c>
      <c r="Q31" s="40">
        <f t="shared" si="27"/>
        <v>25000.01</v>
      </c>
      <c r="R31" s="40">
        <f t="shared" si="27"/>
        <v>50000.01</v>
      </c>
      <c r="S31" s="40">
        <f t="shared" si="27"/>
        <v>200000.01</v>
      </c>
      <c r="T31" s="40">
        <f t="shared" si="27"/>
        <v>500000.01</v>
      </c>
      <c r="V31" s="20" t="s">
        <v>105</v>
      </c>
      <c r="W31" s="38">
        <v>0</v>
      </c>
      <c r="X31" s="40">
        <f t="shared" ref="X31" si="28">W32+0.01</f>
        <v>500.01</v>
      </c>
      <c r="Y31" s="40">
        <f t="shared" ref="Y31" si="29">X32+0.01</f>
        <v>2000.01</v>
      </c>
      <c r="Z31" s="40">
        <f t="shared" ref="Z31" si="30">Y32+0.01</f>
        <v>10000.01</v>
      </c>
      <c r="AA31" s="40">
        <f t="shared" ref="AA31" si="31">Z32+0.01</f>
        <v>25000.01</v>
      </c>
      <c r="AB31" s="40">
        <f t="shared" ref="AB31" si="32">AA32+0.01</f>
        <v>50000.01</v>
      </c>
      <c r="AC31" s="40">
        <f t="shared" ref="AC31" si="33">AB32+0.01</f>
        <v>200000.01</v>
      </c>
      <c r="AD31" s="40">
        <f t="shared" ref="AD31" si="34">AC32+0.01</f>
        <v>500000.01</v>
      </c>
      <c r="AF31" s="20" t="s">
        <v>105</v>
      </c>
      <c r="AG31" s="38">
        <v>0</v>
      </c>
      <c r="AH31" s="40">
        <f t="shared" ref="AH31" si="35">AG32+0.01</f>
        <v>500.01</v>
      </c>
      <c r="AI31" s="40">
        <f t="shared" ref="AI31" si="36">AH32+0.01</f>
        <v>2000.01</v>
      </c>
      <c r="AJ31" s="40">
        <f t="shared" ref="AJ31" si="37">AI32+0.01</f>
        <v>10000.01</v>
      </c>
      <c r="AK31" s="40">
        <f t="shared" ref="AK31" si="38">AJ32+0.01</f>
        <v>25000.01</v>
      </c>
      <c r="AL31" s="40">
        <f t="shared" ref="AL31" si="39">AK32+0.01</f>
        <v>50000.01</v>
      </c>
      <c r="AM31" s="40">
        <f t="shared" ref="AM31" si="40">AL32+0.01</f>
        <v>200000.01</v>
      </c>
      <c r="AN31" s="40">
        <f t="shared" ref="AN31" si="41">AM32+0.01</f>
        <v>500000.01</v>
      </c>
    </row>
    <row r="32" spans="1:40" x14ac:dyDescent="0.2">
      <c r="A32" s="20" t="s">
        <v>106</v>
      </c>
      <c r="B32" s="38">
        <v>300</v>
      </c>
      <c r="C32" s="38">
        <v>1500</v>
      </c>
      <c r="D32" s="38">
        <v>5000</v>
      </c>
      <c r="E32" s="38">
        <v>10000</v>
      </c>
      <c r="F32" s="38">
        <v>25000</v>
      </c>
      <c r="G32" s="38">
        <v>50000</v>
      </c>
      <c r="H32" s="38">
        <v>200000</v>
      </c>
      <c r="I32" s="38">
        <v>500000</v>
      </c>
      <c r="J32" s="38"/>
      <c r="L32" s="20" t="s">
        <v>106</v>
      </c>
      <c r="M32" s="38">
        <v>500</v>
      </c>
      <c r="N32" s="38">
        <v>2000</v>
      </c>
      <c r="O32" s="38">
        <v>10000</v>
      </c>
      <c r="P32" s="38">
        <v>25000</v>
      </c>
      <c r="Q32" s="38">
        <v>50000</v>
      </c>
      <c r="R32" s="38">
        <v>200000</v>
      </c>
      <c r="S32" s="38">
        <v>500000</v>
      </c>
      <c r="T32" s="38"/>
      <c r="V32" s="20" t="s">
        <v>106</v>
      </c>
      <c r="W32" s="38">
        <v>500</v>
      </c>
      <c r="X32" s="38">
        <v>2000</v>
      </c>
      <c r="Y32" s="38">
        <v>10000</v>
      </c>
      <c r="Z32" s="38">
        <v>25000</v>
      </c>
      <c r="AA32" s="38">
        <v>50000</v>
      </c>
      <c r="AB32" s="38">
        <v>200000</v>
      </c>
      <c r="AC32" s="38">
        <v>500000</v>
      </c>
      <c r="AD32" s="38"/>
      <c r="AF32" s="20" t="s">
        <v>106</v>
      </c>
      <c r="AG32" s="38">
        <v>500</v>
      </c>
      <c r="AH32" s="38">
        <v>2000</v>
      </c>
      <c r="AI32" s="38">
        <v>10000</v>
      </c>
      <c r="AJ32" s="38">
        <v>25000</v>
      </c>
      <c r="AK32" s="38">
        <v>50000</v>
      </c>
      <c r="AL32" s="38">
        <v>200000</v>
      </c>
      <c r="AM32" s="38">
        <v>500000</v>
      </c>
      <c r="AN32" s="38"/>
    </row>
    <row r="33" spans="1:40" x14ac:dyDescent="0.2">
      <c r="A33" s="20" t="s">
        <v>107</v>
      </c>
      <c r="B33" s="40">
        <f>B32</f>
        <v>300</v>
      </c>
      <c r="C33" s="38">
        <v>300</v>
      </c>
      <c r="D33" s="38">
        <v>500</v>
      </c>
      <c r="E33" s="38">
        <v>1000</v>
      </c>
      <c r="F33" s="38">
        <v>3000</v>
      </c>
      <c r="G33" s="38">
        <v>5000</v>
      </c>
      <c r="H33" s="38">
        <v>15000</v>
      </c>
      <c r="I33" s="38">
        <v>30000</v>
      </c>
      <c r="J33" s="38">
        <v>50000</v>
      </c>
      <c r="L33" s="20" t="s">
        <v>107</v>
      </c>
      <c r="M33" s="40">
        <f>M32</f>
        <v>500</v>
      </c>
      <c r="N33" s="38">
        <v>500</v>
      </c>
      <c r="O33" s="38">
        <v>1000</v>
      </c>
      <c r="P33" s="38">
        <v>3000</v>
      </c>
      <c r="Q33" s="38">
        <v>5000</v>
      </c>
      <c r="R33" s="38">
        <v>15000</v>
      </c>
      <c r="S33" s="38">
        <v>30000</v>
      </c>
      <c r="T33" s="38">
        <v>50000</v>
      </c>
      <c r="V33" s="20" t="s">
        <v>107</v>
      </c>
      <c r="W33" s="40">
        <f>W32</f>
        <v>500</v>
      </c>
      <c r="X33" s="38">
        <v>500</v>
      </c>
      <c r="Y33" s="38">
        <v>1000</v>
      </c>
      <c r="Z33" s="38">
        <v>3000</v>
      </c>
      <c r="AA33" s="38">
        <v>5000</v>
      </c>
      <c r="AB33" s="38">
        <v>15000</v>
      </c>
      <c r="AC33" s="38">
        <v>30000</v>
      </c>
      <c r="AD33" s="38">
        <v>50000</v>
      </c>
      <c r="AF33" s="20" t="s">
        <v>107</v>
      </c>
      <c r="AG33" s="40">
        <f>AG32</f>
        <v>500</v>
      </c>
      <c r="AH33" s="38">
        <v>500</v>
      </c>
      <c r="AI33" s="38">
        <v>1000</v>
      </c>
      <c r="AJ33" s="38">
        <v>3000</v>
      </c>
      <c r="AK33" s="38">
        <v>5000</v>
      </c>
      <c r="AL33" s="38">
        <v>15000</v>
      </c>
      <c r="AM33" s="38">
        <v>30000</v>
      </c>
      <c r="AN33" s="38">
        <v>50000</v>
      </c>
    </row>
    <row r="34" spans="1:40" x14ac:dyDescent="0.2">
      <c r="A34" s="20" t="s">
        <v>108</v>
      </c>
      <c r="B34" s="38">
        <v>25</v>
      </c>
      <c r="C34" s="38">
        <v>20</v>
      </c>
      <c r="D34" s="38">
        <v>28</v>
      </c>
      <c r="E34" s="38">
        <v>37</v>
      </c>
      <c r="F34" s="38">
        <v>40</v>
      </c>
      <c r="G34" s="38">
        <v>72</v>
      </c>
      <c r="H34" s="38">
        <v>77</v>
      </c>
      <c r="I34" s="38">
        <v>118</v>
      </c>
      <c r="J34" s="38">
        <v>150</v>
      </c>
      <c r="L34" s="20" t="s">
        <v>108</v>
      </c>
      <c r="M34" s="38">
        <v>45</v>
      </c>
      <c r="N34" s="38">
        <v>35</v>
      </c>
      <c r="O34" s="38">
        <v>51</v>
      </c>
      <c r="P34" s="38">
        <v>46</v>
      </c>
      <c r="Q34" s="38">
        <v>75</v>
      </c>
      <c r="R34" s="38">
        <v>85</v>
      </c>
      <c r="S34" s="38">
        <v>120</v>
      </c>
      <c r="T34" s="38">
        <v>150</v>
      </c>
      <c r="V34" s="20" t="s">
        <v>108</v>
      </c>
      <c r="W34" s="38">
        <v>49</v>
      </c>
      <c r="X34" s="38">
        <v>39</v>
      </c>
      <c r="Y34" s="38">
        <v>56</v>
      </c>
      <c r="Z34" s="38">
        <v>52</v>
      </c>
      <c r="AA34" s="38">
        <v>81</v>
      </c>
      <c r="AB34" s="38">
        <v>94</v>
      </c>
      <c r="AC34" s="38">
        <v>132</v>
      </c>
      <c r="AD34" s="38">
        <v>165</v>
      </c>
      <c r="AF34" s="20" t="s">
        <v>108</v>
      </c>
      <c r="AG34" s="38">
        <v>51.5</v>
      </c>
      <c r="AH34" s="38">
        <v>41.5</v>
      </c>
      <c r="AI34" s="38">
        <v>59.5</v>
      </c>
      <c r="AJ34" s="38">
        <v>55</v>
      </c>
      <c r="AK34" s="38">
        <v>86</v>
      </c>
      <c r="AL34" s="38">
        <v>99.5</v>
      </c>
      <c r="AM34" s="38">
        <v>140</v>
      </c>
      <c r="AN34" s="38">
        <v>175</v>
      </c>
    </row>
    <row r="35" spans="1:40" x14ac:dyDescent="0.2">
      <c r="A35" s="20" t="s">
        <v>421</v>
      </c>
      <c r="B35" s="41">
        <v>1</v>
      </c>
      <c r="C35" s="41">
        <f>MAX(0,ROUNDDOWN((MIN($E$29,C32)-C31)/C33+1,0))</f>
        <v>4</v>
      </c>
      <c r="D35" s="41">
        <f t="shared" ref="D35:I35" si="42">MAX(0,ROUNDDOWN((MIN($E$29,D32)-D31)/D33+1,0))</f>
        <v>7</v>
      </c>
      <c r="E35" s="41">
        <f t="shared" si="42"/>
        <v>5</v>
      </c>
      <c r="F35" s="41">
        <f t="shared" si="42"/>
        <v>0</v>
      </c>
      <c r="G35" s="41">
        <f t="shared" si="42"/>
        <v>0</v>
      </c>
      <c r="H35" s="41">
        <f t="shared" si="42"/>
        <v>0</v>
      </c>
      <c r="I35" s="41">
        <f t="shared" si="42"/>
        <v>0</v>
      </c>
      <c r="J35" s="41">
        <f>MAX(0,ROUNDDOWN(($E$29-J31)/J33+1,0))</f>
        <v>0</v>
      </c>
      <c r="L35" s="20" t="s">
        <v>421</v>
      </c>
      <c r="M35" s="41">
        <v>1</v>
      </c>
      <c r="N35" s="41">
        <f t="shared" ref="N35:S35" si="43">MAX(0,ROUNDDOWN((MIN($E$29,N32)-N31)/N33+1,0))</f>
        <v>3</v>
      </c>
      <c r="O35" s="41">
        <f t="shared" si="43"/>
        <v>8</v>
      </c>
      <c r="P35" s="41">
        <f t="shared" si="43"/>
        <v>0</v>
      </c>
      <c r="Q35" s="41">
        <f t="shared" si="43"/>
        <v>0</v>
      </c>
      <c r="R35" s="41">
        <f t="shared" si="43"/>
        <v>0</v>
      </c>
      <c r="S35" s="41">
        <f t="shared" si="43"/>
        <v>0</v>
      </c>
      <c r="T35" s="41">
        <f>MAX(0,ROUNDDOWN(($E$29-T31)/T33+1,0))</f>
        <v>0</v>
      </c>
      <c r="V35" s="20" t="s">
        <v>421</v>
      </c>
      <c r="W35" s="41">
        <v>1</v>
      </c>
      <c r="X35" s="41">
        <f t="shared" ref="X35:AC35" si="44">MAX(0,ROUNDDOWN((MIN($E$29,X32)-X31)/X33+1,0))</f>
        <v>3</v>
      </c>
      <c r="Y35" s="41">
        <f t="shared" si="44"/>
        <v>8</v>
      </c>
      <c r="Z35" s="41">
        <f t="shared" si="44"/>
        <v>0</v>
      </c>
      <c r="AA35" s="41">
        <f t="shared" si="44"/>
        <v>0</v>
      </c>
      <c r="AB35" s="41">
        <f t="shared" si="44"/>
        <v>0</v>
      </c>
      <c r="AC35" s="41">
        <f t="shared" si="44"/>
        <v>0</v>
      </c>
      <c r="AD35" s="41">
        <f>MAX(0,ROUNDDOWN(($E$29-AD31)/AD33+1,0))</f>
        <v>0</v>
      </c>
      <c r="AF35" s="20" t="s">
        <v>421</v>
      </c>
      <c r="AG35" s="41">
        <v>1</v>
      </c>
      <c r="AH35" s="41">
        <f t="shared" ref="AH35:AM35" si="45">MAX(0,ROUNDDOWN((MIN($E$29,AH32)-AH31)/AH33+1,0))</f>
        <v>3</v>
      </c>
      <c r="AI35" s="41">
        <f t="shared" si="45"/>
        <v>8</v>
      </c>
      <c r="AJ35" s="41">
        <f t="shared" si="45"/>
        <v>0</v>
      </c>
      <c r="AK35" s="41">
        <f t="shared" si="45"/>
        <v>0</v>
      </c>
      <c r="AL35" s="41">
        <f t="shared" si="45"/>
        <v>0</v>
      </c>
      <c r="AM35" s="41">
        <f t="shared" si="45"/>
        <v>0</v>
      </c>
      <c r="AN35" s="41">
        <f>MAX(0,ROUNDDOWN(($E$29-AN31)/AN33+1,0))</f>
        <v>0</v>
      </c>
    </row>
    <row r="36" spans="1:40" x14ac:dyDescent="0.2">
      <c r="A36" s="20" t="s">
        <v>422</v>
      </c>
      <c r="B36" s="40">
        <f t="shared" ref="B36:J36" si="46">B35*B33</f>
        <v>300</v>
      </c>
      <c r="C36" s="40">
        <f t="shared" si="46"/>
        <v>1200</v>
      </c>
      <c r="D36" s="40">
        <f t="shared" si="46"/>
        <v>3500</v>
      </c>
      <c r="E36" s="40">
        <f t="shared" si="46"/>
        <v>5000</v>
      </c>
      <c r="F36" s="40">
        <f t="shared" si="46"/>
        <v>0</v>
      </c>
      <c r="G36" s="40">
        <f t="shared" si="46"/>
        <v>0</v>
      </c>
      <c r="H36" s="40">
        <f t="shared" si="46"/>
        <v>0</v>
      </c>
      <c r="I36" s="40">
        <f t="shared" si="46"/>
        <v>0</v>
      </c>
      <c r="J36" s="40">
        <f t="shared" si="46"/>
        <v>0</v>
      </c>
      <c r="L36" s="20" t="s">
        <v>422</v>
      </c>
      <c r="M36" s="40">
        <f t="shared" ref="M36:S36" si="47">M35*M33</f>
        <v>500</v>
      </c>
      <c r="N36" s="40">
        <f t="shared" si="47"/>
        <v>1500</v>
      </c>
      <c r="O36" s="40">
        <f t="shared" si="47"/>
        <v>8000</v>
      </c>
      <c r="P36" s="40">
        <f t="shared" si="47"/>
        <v>0</v>
      </c>
      <c r="Q36" s="40">
        <f t="shared" si="47"/>
        <v>0</v>
      </c>
      <c r="R36" s="40">
        <f t="shared" si="47"/>
        <v>0</v>
      </c>
      <c r="S36" s="40">
        <f t="shared" si="47"/>
        <v>0</v>
      </c>
      <c r="T36" s="40">
        <f>T35*T33</f>
        <v>0</v>
      </c>
      <c r="V36" s="20" t="s">
        <v>422</v>
      </c>
      <c r="W36" s="40">
        <f t="shared" ref="W36:AC36" si="48">W35*W33</f>
        <v>500</v>
      </c>
      <c r="X36" s="40">
        <f t="shared" si="48"/>
        <v>1500</v>
      </c>
      <c r="Y36" s="40">
        <f t="shared" si="48"/>
        <v>8000</v>
      </c>
      <c r="Z36" s="40">
        <f t="shared" si="48"/>
        <v>0</v>
      </c>
      <c r="AA36" s="40">
        <f t="shared" si="48"/>
        <v>0</v>
      </c>
      <c r="AB36" s="40">
        <f t="shared" si="48"/>
        <v>0</v>
      </c>
      <c r="AC36" s="40">
        <f t="shared" si="48"/>
        <v>0</v>
      </c>
      <c r="AD36" s="40">
        <f>AD35*AD33</f>
        <v>0</v>
      </c>
      <c r="AF36" s="20" t="s">
        <v>422</v>
      </c>
      <c r="AG36" s="40">
        <f t="shared" ref="AG36:AM36" si="49">AG35*AG33</f>
        <v>500</v>
      </c>
      <c r="AH36" s="40">
        <f t="shared" si="49"/>
        <v>1500</v>
      </c>
      <c r="AI36" s="40">
        <f t="shared" si="49"/>
        <v>8000</v>
      </c>
      <c r="AJ36" s="40">
        <f t="shared" si="49"/>
        <v>0</v>
      </c>
      <c r="AK36" s="40">
        <f t="shared" si="49"/>
        <v>0</v>
      </c>
      <c r="AL36" s="40">
        <f t="shared" si="49"/>
        <v>0</v>
      </c>
      <c r="AM36" s="40">
        <f t="shared" si="49"/>
        <v>0</v>
      </c>
      <c r="AN36" s="40">
        <f>AN35*AN33</f>
        <v>0</v>
      </c>
    </row>
    <row r="37" spans="1:40" x14ac:dyDescent="0.2">
      <c r="A37" s="20" t="s">
        <v>415</v>
      </c>
      <c r="B37" s="38"/>
      <c r="C37" s="38"/>
      <c r="D37" s="38"/>
      <c r="E37" s="40">
        <f>SUM(B36:J36)</f>
        <v>10000</v>
      </c>
      <c r="F37" s="38"/>
      <c r="G37" s="38"/>
      <c r="H37" s="38"/>
      <c r="I37" s="38"/>
      <c r="J37" s="38"/>
      <c r="L37" s="20" t="s">
        <v>415</v>
      </c>
      <c r="M37" s="38"/>
      <c r="N37" s="38"/>
      <c r="O37" s="38"/>
      <c r="P37" s="40">
        <f>SUM(M36:T36)</f>
        <v>10000</v>
      </c>
      <c r="Q37" s="38"/>
      <c r="R37" s="38"/>
      <c r="S37" s="38"/>
      <c r="T37" s="38"/>
      <c r="V37" s="20" t="s">
        <v>415</v>
      </c>
      <c r="W37" s="38"/>
      <c r="X37" s="38"/>
      <c r="Y37" s="38"/>
      <c r="Z37" s="40">
        <f>SUM(W36:AD36)</f>
        <v>10000</v>
      </c>
      <c r="AA37" s="38"/>
      <c r="AB37" s="38"/>
      <c r="AC37" s="38"/>
      <c r="AD37" s="38"/>
      <c r="AF37" s="20" t="s">
        <v>415</v>
      </c>
      <c r="AG37" s="38"/>
      <c r="AH37" s="38"/>
      <c r="AI37" s="38"/>
      <c r="AJ37" s="40">
        <f>SUM(AG36:AN36)</f>
        <v>10000</v>
      </c>
      <c r="AK37" s="38"/>
      <c r="AL37" s="38"/>
      <c r="AM37" s="38"/>
      <c r="AN37" s="38"/>
    </row>
    <row r="38" spans="1:40" x14ac:dyDescent="0.2">
      <c r="A38" s="20" t="s">
        <v>423</v>
      </c>
      <c r="B38" s="40">
        <f>B35*B34</f>
        <v>25</v>
      </c>
      <c r="C38" s="40">
        <f t="shared" ref="C38:J38" si="50">C35*C34</f>
        <v>80</v>
      </c>
      <c r="D38" s="40">
        <f t="shared" si="50"/>
        <v>196</v>
      </c>
      <c r="E38" s="40">
        <f t="shared" si="50"/>
        <v>185</v>
      </c>
      <c r="F38" s="40">
        <f t="shared" si="50"/>
        <v>0</v>
      </c>
      <c r="G38" s="40">
        <f t="shared" si="50"/>
        <v>0</v>
      </c>
      <c r="H38" s="40">
        <f t="shared" si="50"/>
        <v>0</v>
      </c>
      <c r="I38" s="40">
        <f t="shared" si="50"/>
        <v>0</v>
      </c>
      <c r="J38" s="40">
        <f t="shared" si="50"/>
        <v>0</v>
      </c>
      <c r="L38" s="20" t="s">
        <v>423</v>
      </c>
      <c r="M38" s="40">
        <f t="shared" ref="M38" si="51">M35*M34</f>
        <v>45</v>
      </c>
      <c r="N38" s="40">
        <f t="shared" ref="N38:S38" si="52">N35*N34</f>
        <v>105</v>
      </c>
      <c r="O38" s="40">
        <f t="shared" si="52"/>
        <v>408</v>
      </c>
      <c r="P38" s="40">
        <f t="shared" si="52"/>
        <v>0</v>
      </c>
      <c r="Q38" s="40">
        <f t="shared" si="52"/>
        <v>0</v>
      </c>
      <c r="R38" s="40">
        <f t="shared" si="52"/>
        <v>0</v>
      </c>
      <c r="S38" s="40">
        <f t="shared" si="52"/>
        <v>0</v>
      </c>
      <c r="T38" s="40">
        <f>T35*T34</f>
        <v>0</v>
      </c>
      <c r="V38" s="20" t="s">
        <v>423</v>
      </c>
      <c r="W38" s="40">
        <f t="shared" ref="W38" si="53">W35*W34</f>
        <v>49</v>
      </c>
      <c r="X38" s="40">
        <f t="shared" ref="X38:AC38" si="54">X35*X34</f>
        <v>117</v>
      </c>
      <c r="Y38" s="40">
        <f t="shared" si="54"/>
        <v>448</v>
      </c>
      <c r="Z38" s="40">
        <f t="shared" si="54"/>
        <v>0</v>
      </c>
      <c r="AA38" s="40">
        <f t="shared" si="54"/>
        <v>0</v>
      </c>
      <c r="AB38" s="40">
        <f t="shared" si="54"/>
        <v>0</v>
      </c>
      <c r="AC38" s="40">
        <f t="shared" si="54"/>
        <v>0</v>
      </c>
      <c r="AD38" s="40">
        <f>AD35*AD34</f>
        <v>0</v>
      </c>
      <c r="AF38" s="20" t="s">
        <v>423</v>
      </c>
      <c r="AG38" s="40">
        <f t="shared" ref="AG38" si="55">AG35*AG34</f>
        <v>51.5</v>
      </c>
      <c r="AH38" s="40">
        <f t="shared" ref="AH38:AM38" si="56">AH35*AH34</f>
        <v>124.5</v>
      </c>
      <c r="AI38" s="40">
        <f t="shared" si="56"/>
        <v>476</v>
      </c>
      <c r="AJ38" s="40">
        <f t="shared" si="56"/>
        <v>0</v>
      </c>
      <c r="AK38" s="40">
        <f t="shared" si="56"/>
        <v>0</v>
      </c>
      <c r="AL38" s="40">
        <f t="shared" si="56"/>
        <v>0</v>
      </c>
      <c r="AM38" s="40">
        <f t="shared" si="56"/>
        <v>0</v>
      </c>
      <c r="AN38" s="40">
        <f>AN35*AN34</f>
        <v>0</v>
      </c>
    </row>
    <row r="39" spans="1:40" x14ac:dyDescent="0.2">
      <c r="A39" s="20" t="s">
        <v>110</v>
      </c>
      <c r="B39" s="38"/>
      <c r="C39" s="38"/>
      <c r="D39" s="38"/>
      <c r="E39" s="40">
        <f>SUM(B38:J38)</f>
        <v>486</v>
      </c>
      <c r="F39" s="38"/>
      <c r="G39" s="38"/>
      <c r="H39" s="38"/>
      <c r="I39" s="38"/>
      <c r="J39" s="38"/>
      <c r="L39" s="20" t="s">
        <v>110</v>
      </c>
      <c r="M39" s="38"/>
      <c r="N39" s="38"/>
      <c r="O39" s="38"/>
      <c r="P39" s="40">
        <f>SUM(M38:T38)</f>
        <v>558</v>
      </c>
      <c r="Q39" s="38"/>
      <c r="R39" s="38"/>
      <c r="S39" s="38"/>
      <c r="T39" s="38"/>
      <c r="U39" s="38"/>
      <c r="V39" s="20" t="s">
        <v>110</v>
      </c>
      <c r="W39" s="38"/>
      <c r="X39" s="38"/>
      <c r="Y39" s="38"/>
      <c r="Z39" s="40">
        <f>SUM(W38:AD38)</f>
        <v>614</v>
      </c>
      <c r="AA39" s="38"/>
      <c r="AB39" s="38"/>
      <c r="AC39" s="38"/>
      <c r="AD39" s="38"/>
      <c r="AF39" s="20" t="s">
        <v>110</v>
      </c>
      <c r="AG39" s="38"/>
      <c r="AH39" s="38"/>
      <c r="AI39" s="38"/>
      <c r="AJ39" s="40">
        <f>SUM(AG38:AN38)</f>
        <v>652</v>
      </c>
      <c r="AK39" s="38"/>
      <c r="AL39" s="38"/>
      <c r="AM39" s="38"/>
      <c r="AN39" s="38"/>
    </row>
    <row r="41" spans="1:40" x14ac:dyDescent="0.2">
      <c r="A41" s="18" t="s">
        <v>172</v>
      </c>
    </row>
    <row r="42" spans="1:40" x14ac:dyDescent="0.2">
      <c r="A42" s="19" t="s">
        <v>425</v>
      </c>
      <c r="E42" s="40">
        <f ca="1">IF($B$1=$E$26,$E29,IF($B$1=$P$26,$P29,IF($B$1=$Z$26,$Z29,IF($B$1=$AJ$26,$AJ29,""))))</f>
        <v>10000</v>
      </c>
    </row>
    <row r="43" spans="1:40" x14ac:dyDescent="0.2">
      <c r="A43" s="20" t="s">
        <v>499</v>
      </c>
      <c r="E43" s="40">
        <f ca="1">IF($B$1=$E$26,$E28,IF($B$1=$P$26,$P28,IF($B$1=$Z$26,$Z28,IF($B$1=$AJ$26,$AJ28,""))))</f>
        <v>15</v>
      </c>
    </row>
    <row r="44" spans="1:40" x14ac:dyDescent="0.2">
      <c r="A44" s="20" t="s">
        <v>415</v>
      </c>
      <c r="B44" s="38"/>
      <c r="E44" s="40">
        <f ca="1">IF($B$1=$E$26,$E37,IF($B$1=$P$26,$P37,IF($B$1=$Z$26,$Z37,IF($B$1=$AJ$26,$AJ37,""))))</f>
        <v>10000</v>
      </c>
    </row>
    <row r="45" spans="1:40" x14ac:dyDescent="0.2">
      <c r="A45" s="20" t="s">
        <v>110</v>
      </c>
      <c r="B45" s="38"/>
      <c r="E45" s="40">
        <f ca="1">IF($B$1=$E$26,$E39,IF($B$1=$P$26,$P39,IF($B$1=$Z$26,$Z39,IF($B$1=$AJ$26,$AJ39,""))))</f>
        <v>652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verticalDpi="59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AH137"/>
  <sheetViews>
    <sheetView workbookViewId="0"/>
  </sheetViews>
  <sheetFormatPr baseColWidth="10" defaultColWidth="11.42578125" defaultRowHeight="12.75" x14ac:dyDescent="0.2"/>
  <cols>
    <col min="1" max="1" width="11.42578125" style="2"/>
    <col min="2" max="34" width="13.28515625" style="2" customWidth="1"/>
    <col min="35" max="16384" width="11.42578125" style="2"/>
  </cols>
  <sheetData>
    <row r="1" spans="1:19" x14ac:dyDescent="0.2">
      <c r="A1" s="1" t="s">
        <v>591</v>
      </c>
    </row>
    <row r="2" spans="1:19" x14ac:dyDescent="0.2">
      <c r="A2" s="2" t="s">
        <v>10</v>
      </c>
      <c r="E2" s="2" t="s">
        <v>11</v>
      </c>
    </row>
    <row r="3" spans="1:19" x14ac:dyDescent="0.2">
      <c r="A3" s="4" t="s">
        <v>438</v>
      </c>
      <c r="B3" s="2" t="s">
        <v>589</v>
      </c>
      <c r="C3" s="2" t="s">
        <v>440</v>
      </c>
      <c r="E3" s="2" t="s">
        <v>436</v>
      </c>
      <c r="F3" s="2" t="s">
        <v>437</v>
      </c>
      <c r="G3" s="2" t="s">
        <v>441</v>
      </c>
      <c r="H3" s="2" t="s">
        <v>442</v>
      </c>
      <c r="I3" s="2" t="s">
        <v>443</v>
      </c>
      <c r="J3" s="2" t="s">
        <v>444</v>
      </c>
      <c r="K3" s="2" t="s">
        <v>445</v>
      </c>
      <c r="L3" s="2" t="s">
        <v>446</v>
      </c>
      <c r="M3" s="2" t="s">
        <v>447</v>
      </c>
      <c r="N3" s="2" t="s">
        <v>448</v>
      </c>
      <c r="O3" s="2" t="s">
        <v>449</v>
      </c>
      <c r="P3" s="2" t="s">
        <v>450</v>
      </c>
      <c r="Q3" s="2" t="s">
        <v>451</v>
      </c>
      <c r="R3" s="2" t="s">
        <v>452</v>
      </c>
      <c r="S3" s="2" t="s">
        <v>453</v>
      </c>
    </row>
    <row r="4" spans="1:19" x14ac:dyDescent="0.2">
      <c r="A4" s="4" t="str">
        <f>IF(Kostenquotenrechner!B6="","",Kostenquotenrechner!B6)</f>
        <v/>
      </c>
      <c r="B4" s="22">
        <f>IF(Kostenquotenrechner!AV6=TRUE,Kostenquotenrechner!C6,0)</f>
        <v>0</v>
      </c>
      <c r="C4" s="22">
        <f>B4*COUNTIF(Kostenquotenrechner!AX6:BA6,TRUE)</f>
        <v>0</v>
      </c>
      <c r="D4" s="3"/>
      <c r="E4" s="22">
        <f>IF(Kostenquotenrechner!$AV6=TRUE,Kostenquotenrechner!N6+IF(AND(Kostenquotenrechner!$BF6=TRUE,Kostenquotenrechner!$BG6=FALSE,Kostenquotenrechner!$BH6=FALSE,Kostenquotenrechner!$BI6=FALSE),Kostenquotenrechner!$V6,0),0)</f>
        <v>0</v>
      </c>
      <c r="F4" s="22">
        <f>IF(Kostenquotenrechner!$AV6,Kostenquotenrechner!O6+IF(AND(Kostenquotenrechner!$BF6=FALSE,Kostenquotenrechner!$BG6=TRUE,Kostenquotenrechner!$BH6=FALSE,Kostenquotenrechner!$BI6=FALSE),Kostenquotenrechner!$V6,0),0)</f>
        <v>0</v>
      </c>
      <c r="G4" s="22">
        <f>IF(Kostenquotenrechner!$AV6,Kostenquotenrechner!P6+IF(AND(Kostenquotenrechner!$BF6=FALSE,Kostenquotenrechner!$BG6=FALSE,Kostenquotenrechner!$BH6=TRUE,Kostenquotenrechner!$BI6=FALSE),Kostenquotenrechner!$V6,0),0)</f>
        <v>0</v>
      </c>
      <c r="H4" s="22">
        <f>IF(Kostenquotenrechner!$AV6,Kostenquotenrechner!Q6+IF(AND(Kostenquotenrechner!$BF6=FALSE,Kostenquotenrechner!$BG6=FALSE,Kostenquotenrechner!$BH6=FALSE,Kostenquotenrechner!$BI6=TRUE),Kostenquotenrechner!$V6,0),0)</f>
        <v>0</v>
      </c>
      <c r="I4" s="22">
        <f>IF(Kostenquotenrechner!$AV6,IF(AND(Kostenquotenrechner!$BF6=TRUE,Kostenquotenrechner!$BG6=TRUE,Kostenquotenrechner!$BH6=FALSE,Kostenquotenrechner!$BI6=FALSE),Kostenquotenrechner!$V6,0),0)</f>
        <v>0</v>
      </c>
      <c r="J4" s="22">
        <f>IF(Kostenquotenrechner!$AV6,IF(AND(Kostenquotenrechner!$BF6=TRUE,Kostenquotenrechner!$BG6=FALSE,Kostenquotenrechner!$BH6=TRUE,Kostenquotenrechner!$BI6=FALSE),Kostenquotenrechner!$V6,0),0)</f>
        <v>0</v>
      </c>
      <c r="K4" s="22">
        <f>IF(Kostenquotenrechner!$AV6,IF(AND(Kostenquotenrechner!$BF6=TRUE,Kostenquotenrechner!$BG6=FALSE,Kostenquotenrechner!$BH6=FALSE,Kostenquotenrechner!$BI6=TRUE),Kostenquotenrechner!$V6,0),0)</f>
        <v>0</v>
      </c>
      <c r="L4" s="22">
        <f>IF(Kostenquotenrechner!$AV6,IF(AND(Kostenquotenrechner!$BF6=FALSE,Kostenquotenrechner!$BG6=TRUE,Kostenquotenrechner!$BH6=TRUE,Kostenquotenrechner!$BI6=FALSE),Kostenquotenrechner!$V6,0),0)</f>
        <v>0</v>
      </c>
      <c r="M4" s="22">
        <f>IF(Kostenquotenrechner!$AV6,IF(AND(Kostenquotenrechner!$BF6=FALSE,Kostenquotenrechner!$BG6=TRUE,Kostenquotenrechner!$BH6=FALSE,Kostenquotenrechner!$BI6=TRUE),Kostenquotenrechner!$V6,0),0)</f>
        <v>0</v>
      </c>
      <c r="N4" s="22">
        <f>IF(Kostenquotenrechner!$AV6,IF(AND(Kostenquotenrechner!$BF6=FALSE,Kostenquotenrechner!$BG6=FALSE,Kostenquotenrechner!$BH6=TRUE,Kostenquotenrechner!$BI6=TRUE),Kostenquotenrechner!$V6,0),0)</f>
        <v>0</v>
      </c>
      <c r="O4" s="22">
        <f>IF(Kostenquotenrechner!$AV6,IF(AND(Kostenquotenrechner!$BF6=TRUE,Kostenquotenrechner!$BG6=TRUE,Kostenquotenrechner!$BH6=TRUE,Kostenquotenrechner!$BI6=FALSE),Kostenquotenrechner!$V6,0),0)</f>
        <v>0</v>
      </c>
      <c r="P4" s="22">
        <f>IF(Kostenquotenrechner!$AV6,IF(AND(Kostenquotenrechner!$BF6=TRUE,Kostenquotenrechner!$BG6=TRUE,Kostenquotenrechner!$BH6=FALSE,Kostenquotenrechner!$BI6=TRUE),Kostenquotenrechner!$V6,0),0)</f>
        <v>0</v>
      </c>
      <c r="Q4" s="22">
        <f>IF(Kostenquotenrechner!$AV6,IF(AND(Kostenquotenrechner!$BF6=TRUE,Kostenquotenrechner!$BG6=FALSE,Kostenquotenrechner!$BH6=TRUE,Kostenquotenrechner!$BI6=TRUE),Kostenquotenrechner!$V6,0),0)</f>
        <v>0</v>
      </c>
      <c r="R4" s="22">
        <f>IF(Kostenquotenrechner!$AV6,IF(AND(Kostenquotenrechner!$BF6=FALSE,Kostenquotenrechner!$BG6=TRUE,Kostenquotenrechner!$BH6=TRUE,Kostenquotenrechner!$BI6=TRUE),Kostenquotenrechner!$V6,0),0)</f>
        <v>0</v>
      </c>
      <c r="S4" s="22">
        <f>IF(Kostenquotenrechner!$AV6,IF(AND(Kostenquotenrechner!$BF6=TRUE,Kostenquotenrechner!$BG6=TRUE,Kostenquotenrechner!$BH6=TRUE,Kostenquotenrechner!$BI6=TRUE),Kostenquotenrechner!$V6,0),0)</f>
        <v>0</v>
      </c>
    </row>
    <row r="5" spans="1:19" x14ac:dyDescent="0.2">
      <c r="A5" s="4" t="str">
        <f>IF(Kostenquotenrechner!B7="","",Kostenquotenrechner!B7)</f>
        <v/>
      </c>
      <c r="B5" s="22">
        <f>IF(Kostenquotenrechner!AV7=TRUE,Kostenquotenrechner!C7,0)</f>
        <v>0</v>
      </c>
      <c r="C5" s="22">
        <f>B5*COUNTIF(Kostenquotenrechner!AX7:BA7,TRUE)</f>
        <v>0</v>
      </c>
      <c r="D5" s="3"/>
      <c r="E5" s="22">
        <f>IF(Kostenquotenrechner!$AV7=TRUE,Kostenquotenrechner!N7+IF(AND(Kostenquotenrechner!$BF7=TRUE,Kostenquotenrechner!$BG7=FALSE,Kostenquotenrechner!$BH7=FALSE,Kostenquotenrechner!$BI7=FALSE),Kostenquotenrechner!$V7,0),0)</f>
        <v>0</v>
      </c>
      <c r="F5" s="22">
        <f>IF(Kostenquotenrechner!$AV7,Kostenquotenrechner!O7+IF(AND(Kostenquotenrechner!$BF7=FALSE,Kostenquotenrechner!$BG7=TRUE,Kostenquotenrechner!$BH7=FALSE,Kostenquotenrechner!$BI7=FALSE),Kostenquotenrechner!$V7,0),0)</f>
        <v>0</v>
      </c>
      <c r="G5" s="22">
        <f>IF(Kostenquotenrechner!$AV7,Kostenquotenrechner!P7+IF(AND(Kostenquotenrechner!$BF7=FALSE,Kostenquotenrechner!$BG7=FALSE,Kostenquotenrechner!$BH7=TRUE,Kostenquotenrechner!$BI7=FALSE),Kostenquotenrechner!$V7,0),0)</f>
        <v>0</v>
      </c>
      <c r="H5" s="22">
        <f>IF(Kostenquotenrechner!$AV7,Kostenquotenrechner!Q7+IF(AND(Kostenquotenrechner!$BF7=FALSE,Kostenquotenrechner!$BG7=FALSE,Kostenquotenrechner!$BH7=FALSE,Kostenquotenrechner!$BI7=TRUE),Kostenquotenrechner!$V7,0),0)</f>
        <v>0</v>
      </c>
      <c r="I5" s="22">
        <f>IF(Kostenquotenrechner!$AV7,IF(AND(Kostenquotenrechner!$BF7=TRUE,Kostenquotenrechner!$BG7=TRUE,Kostenquotenrechner!$BH7=FALSE,Kostenquotenrechner!$BI7=FALSE),Kostenquotenrechner!$V7,0),0)</f>
        <v>0</v>
      </c>
      <c r="J5" s="22">
        <f>IF(Kostenquotenrechner!$AV7,IF(AND(Kostenquotenrechner!$BF7=TRUE,Kostenquotenrechner!$BG7=FALSE,Kostenquotenrechner!$BH7=TRUE,Kostenquotenrechner!$BI7=FALSE),Kostenquotenrechner!$V7,0),0)</f>
        <v>0</v>
      </c>
      <c r="K5" s="22">
        <f>IF(Kostenquotenrechner!$AV7,IF(AND(Kostenquotenrechner!$BF7=TRUE,Kostenquotenrechner!$BG7=FALSE,Kostenquotenrechner!$BH7=FALSE,Kostenquotenrechner!$BI7=TRUE),Kostenquotenrechner!$V7,0),0)</f>
        <v>0</v>
      </c>
      <c r="L5" s="22">
        <f>IF(Kostenquotenrechner!$AV7,IF(AND(Kostenquotenrechner!$BF7=FALSE,Kostenquotenrechner!$BG7=TRUE,Kostenquotenrechner!$BH7=TRUE,Kostenquotenrechner!$BI7=FALSE),Kostenquotenrechner!$V7,0),0)</f>
        <v>0</v>
      </c>
      <c r="M5" s="22">
        <f>IF(Kostenquotenrechner!$AV7,IF(AND(Kostenquotenrechner!$BF7=FALSE,Kostenquotenrechner!$BG7=TRUE,Kostenquotenrechner!$BH7=FALSE,Kostenquotenrechner!$BI7=TRUE),Kostenquotenrechner!$V7,0),0)</f>
        <v>0</v>
      </c>
      <c r="N5" s="22">
        <f>IF(Kostenquotenrechner!$AV7,IF(AND(Kostenquotenrechner!$BF7=FALSE,Kostenquotenrechner!$BG7=FALSE,Kostenquotenrechner!$BH7=TRUE,Kostenquotenrechner!$BI7=TRUE),Kostenquotenrechner!$V7,0),0)</f>
        <v>0</v>
      </c>
      <c r="O5" s="22">
        <f>IF(Kostenquotenrechner!$AV7,IF(AND(Kostenquotenrechner!$BF7=TRUE,Kostenquotenrechner!$BG7=TRUE,Kostenquotenrechner!$BH7=TRUE,Kostenquotenrechner!$BI7=FALSE),Kostenquotenrechner!$V7,0),0)</f>
        <v>0</v>
      </c>
      <c r="P5" s="22">
        <f>IF(Kostenquotenrechner!$AV7,IF(AND(Kostenquotenrechner!$BF7=TRUE,Kostenquotenrechner!$BG7=TRUE,Kostenquotenrechner!$BH7=FALSE,Kostenquotenrechner!$BI7=TRUE),Kostenquotenrechner!$V7,0),0)</f>
        <v>0</v>
      </c>
      <c r="Q5" s="22">
        <f>IF(Kostenquotenrechner!$AV7,IF(AND(Kostenquotenrechner!$BF7=TRUE,Kostenquotenrechner!$BG7=FALSE,Kostenquotenrechner!$BH7=TRUE,Kostenquotenrechner!$BI7=TRUE),Kostenquotenrechner!$V7,0),0)</f>
        <v>0</v>
      </c>
      <c r="R5" s="22">
        <f>IF(Kostenquotenrechner!$AV7,IF(AND(Kostenquotenrechner!$BF7=FALSE,Kostenquotenrechner!$BG7=TRUE,Kostenquotenrechner!$BH7=TRUE,Kostenquotenrechner!$BI7=TRUE),Kostenquotenrechner!$V7,0),0)</f>
        <v>0</v>
      </c>
      <c r="S5" s="22">
        <f>IF(Kostenquotenrechner!$AV7,IF(AND(Kostenquotenrechner!$BF7=TRUE,Kostenquotenrechner!$BG7=TRUE,Kostenquotenrechner!$BH7=TRUE,Kostenquotenrechner!$BI7=TRUE),Kostenquotenrechner!$V7,0),0)</f>
        <v>0</v>
      </c>
    </row>
    <row r="6" spans="1:19" x14ac:dyDescent="0.2">
      <c r="A6" s="4" t="str">
        <f>IF(Kostenquotenrechner!B8="","",Kostenquotenrechner!B8)</f>
        <v/>
      </c>
      <c r="B6" s="22">
        <f>IF(Kostenquotenrechner!AV8=TRUE,Kostenquotenrechner!C8,0)</f>
        <v>0</v>
      </c>
      <c r="C6" s="22">
        <f>B6*COUNTIF(Kostenquotenrechner!AX8:BA8,TRUE)</f>
        <v>0</v>
      </c>
      <c r="D6" s="3"/>
      <c r="E6" s="22">
        <f>IF(Kostenquotenrechner!$AV8=TRUE,Kostenquotenrechner!N8+IF(AND(Kostenquotenrechner!$BF8=TRUE,Kostenquotenrechner!$BG8=FALSE,Kostenquotenrechner!$BH8=FALSE,Kostenquotenrechner!$BI8=FALSE),Kostenquotenrechner!$V8,0),0)</f>
        <v>0</v>
      </c>
      <c r="F6" s="22">
        <f>IF(Kostenquotenrechner!$AV8,Kostenquotenrechner!O8+IF(AND(Kostenquotenrechner!$BF8=FALSE,Kostenquotenrechner!$BG8=TRUE,Kostenquotenrechner!$BH8=FALSE,Kostenquotenrechner!$BI8=FALSE),Kostenquotenrechner!$V8,0),0)</f>
        <v>0</v>
      </c>
      <c r="G6" s="22">
        <f>IF(Kostenquotenrechner!$AV8,Kostenquotenrechner!P8+IF(AND(Kostenquotenrechner!$BF8=FALSE,Kostenquotenrechner!$BG8=FALSE,Kostenquotenrechner!$BH8=TRUE,Kostenquotenrechner!$BI8=FALSE),Kostenquotenrechner!$V8,0),0)</f>
        <v>0</v>
      </c>
      <c r="H6" s="22">
        <f>IF(Kostenquotenrechner!$AV8,Kostenquotenrechner!Q8+IF(AND(Kostenquotenrechner!$BF8=FALSE,Kostenquotenrechner!$BG8=FALSE,Kostenquotenrechner!$BH8=FALSE,Kostenquotenrechner!$BI8=TRUE),Kostenquotenrechner!$V8,0),0)</f>
        <v>0</v>
      </c>
      <c r="I6" s="22">
        <f>IF(Kostenquotenrechner!$AV8,IF(AND(Kostenquotenrechner!$BF8=TRUE,Kostenquotenrechner!$BG8=TRUE,Kostenquotenrechner!$BH8=FALSE,Kostenquotenrechner!$BI8=FALSE),Kostenquotenrechner!$V8,0),0)</f>
        <v>0</v>
      </c>
      <c r="J6" s="22">
        <f>IF(Kostenquotenrechner!$AV8,IF(AND(Kostenquotenrechner!$BF8=TRUE,Kostenquotenrechner!$BG8=FALSE,Kostenquotenrechner!$BH8=TRUE,Kostenquotenrechner!$BI8=FALSE),Kostenquotenrechner!$V8,0),0)</f>
        <v>0</v>
      </c>
      <c r="K6" s="22">
        <f>IF(Kostenquotenrechner!$AV8,IF(AND(Kostenquotenrechner!$BF8=TRUE,Kostenquotenrechner!$BG8=FALSE,Kostenquotenrechner!$BH8=FALSE,Kostenquotenrechner!$BI8=TRUE),Kostenquotenrechner!$V8,0),0)</f>
        <v>0</v>
      </c>
      <c r="L6" s="22">
        <f>IF(Kostenquotenrechner!$AV8,IF(AND(Kostenquotenrechner!$BF8=FALSE,Kostenquotenrechner!$BG8=TRUE,Kostenquotenrechner!$BH8=TRUE,Kostenquotenrechner!$BI8=FALSE),Kostenquotenrechner!$V8,0),0)</f>
        <v>0</v>
      </c>
      <c r="M6" s="22">
        <f>IF(Kostenquotenrechner!$AV8,IF(AND(Kostenquotenrechner!$BF8=FALSE,Kostenquotenrechner!$BG8=TRUE,Kostenquotenrechner!$BH8=FALSE,Kostenquotenrechner!$BI8=TRUE),Kostenquotenrechner!$V8,0),0)</f>
        <v>0</v>
      </c>
      <c r="N6" s="22">
        <f>IF(Kostenquotenrechner!$AV8,IF(AND(Kostenquotenrechner!$BF8=FALSE,Kostenquotenrechner!$BG8=FALSE,Kostenquotenrechner!$BH8=TRUE,Kostenquotenrechner!$BI8=TRUE),Kostenquotenrechner!$V8,0),0)</f>
        <v>0</v>
      </c>
      <c r="O6" s="22">
        <f>IF(Kostenquotenrechner!$AV8,IF(AND(Kostenquotenrechner!$BF8=TRUE,Kostenquotenrechner!$BG8=TRUE,Kostenquotenrechner!$BH8=TRUE,Kostenquotenrechner!$BI8=FALSE),Kostenquotenrechner!$V8,0),0)</f>
        <v>0</v>
      </c>
      <c r="P6" s="22">
        <f>IF(Kostenquotenrechner!$AV8,IF(AND(Kostenquotenrechner!$BF8=TRUE,Kostenquotenrechner!$BG8=TRUE,Kostenquotenrechner!$BH8=FALSE,Kostenquotenrechner!$BI8=TRUE),Kostenquotenrechner!$V8,0),0)</f>
        <v>0</v>
      </c>
      <c r="Q6" s="22">
        <f>IF(Kostenquotenrechner!$AV8,IF(AND(Kostenquotenrechner!$BF8=TRUE,Kostenquotenrechner!$BG8=FALSE,Kostenquotenrechner!$BH8=TRUE,Kostenquotenrechner!$BI8=TRUE),Kostenquotenrechner!$V8,0),0)</f>
        <v>0</v>
      </c>
      <c r="R6" s="22">
        <f>IF(Kostenquotenrechner!$AV8,IF(AND(Kostenquotenrechner!$BF8=FALSE,Kostenquotenrechner!$BG8=TRUE,Kostenquotenrechner!$BH8=TRUE,Kostenquotenrechner!$BI8=TRUE),Kostenquotenrechner!$V8,0),0)</f>
        <v>0</v>
      </c>
      <c r="S6" s="22">
        <f>IF(Kostenquotenrechner!$AV8,IF(AND(Kostenquotenrechner!$BF8=TRUE,Kostenquotenrechner!$BG8=TRUE,Kostenquotenrechner!$BH8=TRUE,Kostenquotenrechner!$BI8=TRUE),Kostenquotenrechner!$V8,0),0)</f>
        <v>0</v>
      </c>
    </row>
    <row r="7" spans="1:19" x14ac:dyDescent="0.2">
      <c r="A7" s="4" t="str">
        <f>IF(Kostenquotenrechner!B9="","",Kostenquotenrechner!B9)</f>
        <v/>
      </c>
      <c r="B7" s="22">
        <f>IF(Kostenquotenrechner!AV9=TRUE,Kostenquotenrechner!C9,0)</f>
        <v>0</v>
      </c>
      <c r="C7" s="22">
        <f>B7*COUNTIF(Kostenquotenrechner!AX9:BA9,TRUE)</f>
        <v>0</v>
      </c>
      <c r="D7" s="3"/>
      <c r="E7" s="22">
        <f>IF(Kostenquotenrechner!$AV9=TRUE,Kostenquotenrechner!N9+IF(AND(Kostenquotenrechner!$BF9=TRUE,Kostenquotenrechner!$BG9=FALSE,Kostenquotenrechner!$BH9=FALSE,Kostenquotenrechner!$BI9=FALSE),Kostenquotenrechner!$V9,0),0)</f>
        <v>0</v>
      </c>
      <c r="F7" s="22">
        <f>IF(Kostenquotenrechner!$AV9,Kostenquotenrechner!O9+IF(AND(Kostenquotenrechner!$BF9=FALSE,Kostenquotenrechner!$BG9=TRUE,Kostenquotenrechner!$BH9=FALSE,Kostenquotenrechner!$BI9=FALSE),Kostenquotenrechner!$V9,0),0)</f>
        <v>0</v>
      </c>
      <c r="G7" s="22">
        <f>IF(Kostenquotenrechner!$AV9,Kostenquotenrechner!P9+IF(AND(Kostenquotenrechner!$BF9=FALSE,Kostenquotenrechner!$BG9=FALSE,Kostenquotenrechner!$BH9=TRUE,Kostenquotenrechner!$BI9=FALSE),Kostenquotenrechner!$V9,0),0)</f>
        <v>0</v>
      </c>
      <c r="H7" s="22">
        <f>IF(Kostenquotenrechner!$AV9,Kostenquotenrechner!Q9+IF(AND(Kostenquotenrechner!$BF9=FALSE,Kostenquotenrechner!$BG9=FALSE,Kostenquotenrechner!$BH9=FALSE,Kostenquotenrechner!$BI9=TRUE),Kostenquotenrechner!$V9,0),0)</f>
        <v>0</v>
      </c>
      <c r="I7" s="22">
        <f>IF(Kostenquotenrechner!$AV9,IF(AND(Kostenquotenrechner!$BF9=TRUE,Kostenquotenrechner!$BG9=TRUE,Kostenquotenrechner!$BH9=FALSE,Kostenquotenrechner!$BI9=FALSE),Kostenquotenrechner!$V9,0),0)</f>
        <v>0</v>
      </c>
      <c r="J7" s="22">
        <f>IF(Kostenquotenrechner!$AV9,IF(AND(Kostenquotenrechner!$BF9=TRUE,Kostenquotenrechner!$BG9=FALSE,Kostenquotenrechner!$BH9=TRUE,Kostenquotenrechner!$BI9=FALSE),Kostenquotenrechner!$V9,0),0)</f>
        <v>0</v>
      </c>
      <c r="K7" s="22">
        <f>IF(Kostenquotenrechner!$AV9,IF(AND(Kostenquotenrechner!$BF9=TRUE,Kostenquotenrechner!$BG9=FALSE,Kostenquotenrechner!$BH9=FALSE,Kostenquotenrechner!$BI9=TRUE),Kostenquotenrechner!$V9,0),0)</f>
        <v>0</v>
      </c>
      <c r="L7" s="22">
        <f>IF(Kostenquotenrechner!$AV9,IF(AND(Kostenquotenrechner!$BF9=FALSE,Kostenquotenrechner!$BG9=TRUE,Kostenquotenrechner!$BH9=TRUE,Kostenquotenrechner!$BI9=FALSE),Kostenquotenrechner!$V9,0),0)</f>
        <v>0</v>
      </c>
      <c r="M7" s="22">
        <f>IF(Kostenquotenrechner!$AV9,IF(AND(Kostenquotenrechner!$BF9=FALSE,Kostenquotenrechner!$BG9=TRUE,Kostenquotenrechner!$BH9=FALSE,Kostenquotenrechner!$BI9=TRUE),Kostenquotenrechner!$V9,0),0)</f>
        <v>0</v>
      </c>
      <c r="N7" s="22">
        <f>IF(Kostenquotenrechner!$AV9,IF(AND(Kostenquotenrechner!$BF9=FALSE,Kostenquotenrechner!$BG9=FALSE,Kostenquotenrechner!$BH9=TRUE,Kostenquotenrechner!$BI9=TRUE),Kostenquotenrechner!$V9,0),0)</f>
        <v>0</v>
      </c>
      <c r="O7" s="22">
        <f>IF(Kostenquotenrechner!$AV9,IF(AND(Kostenquotenrechner!$BF9=TRUE,Kostenquotenrechner!$BG9=TRUE,Kostenquotenrechner!$BH9=TRUE,Kostenquotenrechner!$BI9=FALSE),Kostenquotenrechner!$V9,0),0)</f>
        <v>0</v>
      </c>
      <c r="P7" s="22">
        <f>IF(Kostenquotenrechner!$AV9,IF(AND(Kostenquotenrechner!$BF9=TRUE,Kostenquotenrechner!$BG9=TRUE,Kostenquotenrechner!$BH9=FALSE,Kostenquotenrechner!$BI9=TRUE),Kostenquotenrechner!$V9,0),0)</f>
        <v>0</v>
      </c>
      <c r="Q7" s="22">
        <f>IF(Kostenquotenrechner!$AV9,IF(AND(Kostenquotenrechner!$BF9=TRUE,Kostenquotenrechner!$BG9=FALSE,Kostenquotenrechner!$BH9=TRUE,Kostenquotenrechner!$BI9=TRUE),Kostenquotenrechner!$V9,0),0)</f>
        <v>0</v>
      </c>
      <c r="R7" s="22">
        <f>IF(Kostenquotenrechner!$AV9,IF(AND(Kostenquotenrechner!$BF9=FALSE,Kostenquotenrechner!$BG9=TRUE,Kostenquotenrechner!$BH9=TRUE,Kostenquotenrechner!$BI9=TRUE),Kostenquotenrechner!$V9,0),0)</f>
        <v>0</v>
      </c>
      <c r="S7" s="22">
        <f>IF(Kostenquotenrechner!$AV9,IF(AND(Kostenquotenrechner!$BF9=TRUE,Kostenquotenrechner!$BG9=TRUE,Kostenquotenrechner!$BH9=TRUE,Kostenquotenrechner!$BI9=TRUE),Kostenquotenrechner!$V9,0),0)</f>
        <v>0</v>
      </c>
    </row>
    <row r="8" spans="1:19" x14ac:dyDescent="0.2">
      <c r="A8" s="4" t="str">
        <f>IF(Kostenquotenrechner!B10="","",Kostenquotenrechner!B10)</f>
        <v/>
      </c>
      <c r="B8" s="22">
        <f>IF(Kostenquotenrechner!AV10=TRUE,Kostenquotenrechner!C10,0)</f>
        <v>0</v>
      </c>
      <c r="C8" s="22">
        <f>B8*COUNTIF(Kostenquotenrechner!AX10:BA10,TRUE)</f>
        <v>0</v>
      </c>
      <c r="D8" s="3"/>
      <c r="E8" s="22">
        <f>IF(Kostenquotenrechner!$AV10=TRUE,Kostenquotenrechner!N10+IF(AND(Kostenquotenrechner!$BF10=TRUE,Kostenquotenrechner!$BG10=FALSE,Kostenquotenrechner!$BH10=FALSE,Kostenquotenrechner!$BI10=FALSE),Kostenquotenrechner!$V10,0),0)</f>
        <v>0</v>
      </c>
      <c r="F8" s="22">
        <f>IF(Kostenquotenrechner!$AV10,Kostenquotenrechner!O10+IF(AND(Kostenquotenrechner!$BF10=FALSE,Kostenquotenrechner!$BG10=TRUE,Kostenquotenrechner!$BH10=FALSE,Kostenquotenrechner!$BI10=FALSE),Kostenquotenrechner!$V10,0),0)</f>
        <v>0</v>
      </c>
      <c r="G8" s="22">
        <f>IF(Kostenquotenrechner!$AV10,Kostenquotenrechner!P10+IF(AND(Kostenquotenrechner!$BF10=FALSE,Kostenquotenrechner!$BG10=FALSE,Kostenquotenrechner!$BH10=TRUE,Kostenquotenrechner!$BI10=FALSE),Kostenquotenrechner!$V10,0),0)</f>
        <v>0</v>
      </c>
      <c r="H8" s="22">
        <f>IF(Kostenquotenrechner!$AV10,Kostenquotenrechner!Q10+IF(AND(Kostenquotenrechner!$BF10=FALSE,Kostenquotenrechner!$BG10=FALSE,Kostenquotenrechner!$BH10=FALSE,Kostenquotenrechner!$BI10=TRUE),Kostenquotenrechner!$V10,0),0)</f>
        <v>0</v>
      </c>
      <c r="I8" s="22">
        <f>IF(Kostenquotenrechner!$AV10,IF(AND(Kostenquotenrechner!$BF10=TRUE,Kostenquotenrechner!$BG10=TRUE,Kostenquotenrechner!$BH10=FALSE,Kostenquotenrechner!$BI10=FALSE),Kostenquotenrechner!$V10,0),0)</f>
        <v>0</v>
      </c>
      <c r="J8" s="22">
        <f>IF(Kostenquotenrechner!$AV10,IF(AND(Kostenquotenrechner!$BF10=TRUE,Kostenquotenrechner!$BG10=FALSE,Kostenquotenrechner!$BH10=TRUE,Kostenquotenrechner!$BI10=FALSE),Kostenquotenrechner!$V10,0),0)</f>
        <v>0</v>
      </c>
      <c r="K8" s="22">
        <f>IF(Kostenquotenrechner!$AV10,IF(AND(Kostenquotenrechner!$BF10=TRUE,Kostenquotenrechner!$BG10=FALSE,Kostenquotenrechner!$BH10=FALSE,Kostenquotenrechner!$BI10=TRUE),Kostenquotenrechner!$V10,0),0)</f>
        <v>0</v>
      </c>
      <c r="L8" s="22">
        <f>IF(Kostenquotenrechner!$AV10,IF(AND(Kostenquotenrechner!$BF10=FALSE,Kostenquotenrechner!$BG10=TRUE,Kostenquotenrechner!$BH10=TRUE,Kostenquotenrechner!$BI10=FALSE),Kostenquotenrechner!$V10,0),0)</f>
        <v>0</v>
      </c>
      <c r="M8" s="22">
        <f>IF(Kostenquotenrechner!$AV10,IF(AND(Kostenquotenrechner!$BF10=FALSE,Kostenquotenrechner!$BG10=TRUE,Kostenquotenrechner!$BH10=FALSE,Kostenquotenrechner!$BI10=TRUE),Kostenquotenrechner!$V10,0),0)</f>
        <v>0</v>
      </c>
      <c r="N8" s="22">
        <f>IF(Kostenquotenrechner!$AV10,IF(AND(Kostenquotenrechner!$BF10=FALSE,Kostenquotenrechner!$BG10=FALSE,Kostenquotenrechner!$BH10=TRUE,Kostenquotenrechner!$BI10=TRUE),Kostenquotenrechner!$V10,0),0)</f>
        <v>0</v>
      </c>
      <c r="O8" s="22">
        <f>IF(Kostenquotenrechner!$AV10,IF(AND(Kostenquotenrechner!$BF10=TRUE,Kostenquotenrechner!$BG10=TRUE,Kostenquotenrechner!$BH10=TRUE,Kostenquotenrechner!$BI10=FALSE),Kostenquotenrechner!$V10,0),0)</f>
        <v>0</v>
      </c>
      <c r="P8" s="22">
        <f>IF(Kostenquotenrechner!$AV10,IF(AND(Kostenquotenrechner!$BF10=TRUE,Kostenquotenrechner!$BG10=TRUE,Kostenquotenrechner!$BH10=FALSE,Kostenquotenrechner!$BI10=TRUE),Kostenquotenrechner!$V10,0),0)</f>
        <v>0</v>
      </c>
      <c r="Q8" s="22">
        <f>IF(Kostenquotenrechner!$AV10,IF(AND(Kostenquotenrechner!$BF10=TRUE,Kostenquotenrechner!$BG10=FALSE,Kostenquotenrechner!$BH10=TRUE,Kostenquotenrechner!$BI10=TRUE),Kostenquotenrechner!$V10,0),0)</f>
        <v>0</v>
      </c>
      <c r="R8" s="22">
        <f>IF(Kostenquotenrechner!$AV10,IF(AND(Kostenquotenrechner!$BF10=FALSE,Kostenquotenrechner!$BG10=TRUE,Kostenquotenrechner!$BH10=TRUE,Kostenquotenrechner!$BI10=TRUE),Kostenquotenrechner!$V10,0),0)</f>
        <v>0</v>
      </c>
      <c r="S8" s="22">
        <f>IF(Kostenquotenrechner!$AV10,IF(AND(Kostenquotenrechner!$BF10=TRUE,Kostenquotenrechner!$BG10=TRUE,Kostenquotenrechner!$BH10=TRUE,Kostenquotenrechner!$BI10=TRUE),Kostenquotenrechner!$V10,0),0)</f>
        <v>0</v>
      </c>
    </row>
    <row r="9" spans="1:19" x14ac:dyDescent="0.2">
      <c r="A9" s="4" t="str">
        <f>IF(Kostenquotenrechner!B11="","",Kostenquotenrechner!B11)</f>
        <v/>
      </c>
      <c r="B9" s="22">
        <f>IF(Kostenquotenrechner!AV11=TRUE,Kostenquotenrechner!C11,0)</f>
        <v>0</v>
      </c>
      <c r="C9" s="22">
        <f>B9*COUNTIF(Kostenquotenrechner!AX11:BA11,TRUE)</f>
        <v>0</v>
      </c>
      <c r="D9" s="3"/>
      <c r="E9" s="22">
        <f>IF(Kostenquotenrechner!$AV11=TRUE,Kostenquotenrechner!N11+IF(AND(Kostenquotenrechner!$BF11=TRUE,Kostenquotenrechner!$BG11=FALSE,Kostenquotenrechner!$BH11=FALSE,Kostenquotenrechner!$BI11=FALSE),Kostenquotenrechner!$V11,0),0)</f>
        <v>0</v>
      </c>
      <c r="F9" s="22">
        <f>IF(Kostenquotenrechner!$AV11,Kostenquotenrechner!O11+IF(AND(Kostenquotenrechner!$BF11=FALSE,Kostenquotenrechner!$BG11=TRUE,Kostenquotenrechner!$BH11=FALSE,Kostenquotenrechner!$BI11=FALSE),Kostenquotenrechner!$V11,0),0)</f>
        <v>0</v>
      </c>
      <c r="G9" s="22">
        <f>IF(Kostenquotenrechner!$AV11,Kostenquotenrechner!P11+IF(AND(Kostenquotenrechner!$BF11=FALSE,Kostenquotenrechner!$BG11=FALSE,Kostenquotenrechner!$BH11=TRUE,Kostenquotenrechner!$BI11=FALSE),Kostenquotenrechner!$V11,0),0)</f>
        <v>0</v>
      </c>
      <c r="H9" s="22">
        <f>IF(Kostenquotenrechner!$AV11,Kostenquotenrechner!Q11+IF(AND(Kostenquotenrechner!$BF11=FALSE,Kostenquotenrechner!$BG11=FALSE,Kostenquotenrechner!$BH11=FALSE,Kostenquotenrechner!$BI11=TRUE),Kostenquotenrechner!$V11,0),0)</f>
        <v>0</v>
      </c>
      <c r="I9" s="22">
        <f>IF(Kostenquotenrechner!$AV11,IF(AND(Kostenquotenrechner!$BF11=TRUE,Kostenquotenrechner!$BG11=TRUE,Kostenquotenrechner!$BH11=FALSE,Kostenquotenrechner!$BI11=FALSE),Kostenquotenrechner!$V11,0),0)</f>
        <v>0</v>
      </c>
      <c r="J9" s="22">
        <f>IF(Kostenquotenrechner!$AV11,IF(AND(Kostenquotenrechner!$BF11=TRUE,Kostenquotenrechner!$BG11=FALSE,Kostenquotenrechner!$BH11=TRUE,Kostenquotenrechner!$BI11=FALSE),Kostenquotenrechner!$V11,0),0)</f>
        <v>0</v>
      </c>
      <c r="K9" s="22">
        <f>IF(Kostenquotenrechner!$AV11,IF(AND(Kostenquotenrechner!$BF11=TRUE,Kostenquotenrechner!$BG11=FALSE,Kostenquotenrechner!$BH11=FALSE,Kostenquotenrechner!$BI11=TRUE),Kostenquotenrechner!$V11,0),0)</f>
        <v>0</v>
      </c>
      <c r="L9" s="22">
        <f>IF(Kostenquotenrechner!$AV11,IF(AND(Kostenquotenrechner!$BF11=FALSE,Kostenquotenrechner!$BG11=TRUE,Kostenquotenrechner!$BH11=TRUE,Kostenquotenrechner!$BI11=FALSE),Kostenquotenrechner!$V11,0),0)</f>
        <v>0</v>
      </c>
      <c r="M9" s="22">
        <f>IF(Kostenquotenrechner!$AV11,IF(AND(Kostenquotenrechner!$BF11=FALSE,Kostenquotenrechner!$BG11=TRUE,Kostenquotenrechner!$BH11=FALSE,Kostenquotenrechner!$BI11=TRUE),Kostenquotenrechner!$V11,0),0)</f>
        <v>0</v>
      </c>
      <c r="N9" s="22">
        <f>IF(Kostenquotenrechner!$AV11,IF(AND(Kostenquotenrechner!$BF11=FALSE,Kostenquotenrechner!$BG11=FALSE,Kostenquotenrechner!$BH11=TRUE,Kostenquotenrechner!$BI11=TRUE),Kostenquotenrechner!$V11,0),0)</f>
        <v>0</v>
      </c>
      <c r="O9" s="22">
        <f>IF(Kostenquotenrechner!$AV11,IF(AND(Kostenquotenrechner!$BF11=TRUE,Kostenquotenrechner!$BG11=TRUE,Kostenquotenrechner!$BH11=TRUE,Kostenquotenrechner!$BI11=FALSE),Kostenquotenrechner!$V11,0),0)</f>
        <v>0</v>
      </c>
      <c r="P9" s="22">
        <f>IF(Kostenquotenrechner!$AV11,IF(AND(Kostenquotenrechner!$BF11=TRUE,Kostenquotenrechner!$BG11=TRUE,Kostenquotenrechner!$BH11=FALSE,Kostenquotenrechner!$BI11=TRUE),Kostenquotenrechner!$V11,0),0)</f>
        <v>0</v>
      </c>
      <c r="Q9" s="22">
        <f>IF(Kostenquotenrechner!$AV11,IF(AND(Kostenquotenrechner!$BF11=TRUE,Kostenquotenrechner!$BG11=FALSE,Kostenquotenrechner!$BH11=TRUE,Kostenquotenrechner!$BI11=TRUE),Kostenquotenrechner!$V11,0),0)</f>
        <v>0</v>
      </c>
      <c r="R9" s="22">
        <f>IF(Kostenquotenrechner!$AV11,IF(AND(Kostenquotenrechner!$BF11=FALSE,Kostenquotenrechner!$BG11=TRUE,Kostenquotenrechner!$BH11=TRUE,Kostenquotenrechner!$BI11=TRUE),Kostenquotenrechner!$V11,0),0)</f>
        <v>0</v>
      </c>
      <c r="S9" s="22">
        <f>IF(Kostenquotenrechner!$AV11,IF(AND(Kostenquotenrechner!$BF11=TRUE,Kostenquotenrechner!$BG11=TRUE,Kostenquotenrechner!$BH11=TRUE,Kostenquotenrechner!$BI11=TRUE),Kostenquotenrechner!$V11,0),0)</f>
        <v>0</v>
      </c>
    </row>
    <row r="10" spans="1:19" x14ac:dyDescent="0.2">
      <c r="A10" s="4" t="str">
        <f>IF(Kostenquotenrechner!B12="","",Kostenquotenrechner!B12)</f>
        <v/>
      </c>
      <c r="B10" s="22">
        <f>IF(Kostenquotenrechner!AV12=TRUE,Kostenquotenrechner!C12,0)</f>
        <v>0</v>
      </c>
      <c r="C10" s="22">
        <f>B10*COUNTIF(Kostenquotenrechner!AX12:BA12,TRUE)</f>
        <v>0</v>
      </c>
      <c r="D10" s="3"/>
      <c r="E10" s="22">
        <f>IF(Kostenquotenrechner!$AV12=TRUE,Kostenquotenrechner!N12+IF(AND(Kostenquotenrechner!$BF12=TRUE,Kostenquotenrechner!$BG12=FALSE,Kostenquotenrechner!$BH12=FALSE,Kostenquotenrechner!$BI12=FALSE),Kostenquotenrechner!$V12,0),0)</f>
        <v>0</v>
      </c>
      <c r="F10" s="22">
        <f>IF(Kostenquotenrechner!$AV12,Kostenquotenrechner!O12+IF(AND(Kostenquotenrechner!$BF12=FALSE,Kostenquotenrechner!$BG12=TRUE,Kostenquotenrechner!$BH12=FALSE,Kostenquotenrechner!$BI12=FALSE),Kostenquotenrechner!$V12,0),0)</f>
        <v>0</v>
      </c>
      <c r="G10" s="22">
        <f>IF(Kostenquotenrechner!$AV12,Kostenquotenrechner!P12+IF(AND(Kostenquotenrechner!$BF12=FALSE,Kostenquotenrechner!$BG12=FALSE,Kostenquotenrechner!$BH12=TRUE,Kostenquotenrechner!$BI12=FALSE),Kostenquotenrechner!$V12,0),0)</f>
        <v>0</v>
      </c>
      <c r="H10" s="22">
        <f>IF(Kostenquotenrechner!$AV12,Kostenquotenrechner!Q12+IF(AND(Kostenquotenrechner!$BF12=FALSE,Kostenquotenrechner!$BG12=FALSE,Kostenquotenrechner!$BH12=FALSE,Kostenquotenrechner!$BI12=TRUE),Kostenquotenrechner!$V12,0),0)</f>
        <v>0</v>
      </c>
      <c r="I10" s="22">
        <f>IF(Kostenquotenrechner!$AV12,IF(AND(Kostenquotenrechner!$BF12=TRUE,Kostenquotenrechner!$BG12=TRUE,Kostenquotenrechner!$BH12=FALSE,Kostenquotenrechner!$BI12=FALSE),Kostenquotenrechner!$V12,0),0)</f>
        <v>0</v>
      </c>
      <c r="J10" s="22">
        <f>IF(Kostenquotenrechner!$AV12,IF(AND(Kostenquotenrechner!$BF12=TRUE,Kostenquotenrechner!$BG12=FALSE,Kostenquotenrechner!$BH12=TRUE,Kostenquotenrechner!$BI12=FALSE),Kostenquotenrechner!$V12,0),0)</f>
        <v>0</v>
      </c>
      <c r="K10" s="22">
        <f>IF(Kostenquotenrechner!$AV12,IF(AND(Kostenquotenrechner!$BF12=TRUE,Kostenquotenrechner!$BG12=FALSE,Kostenquotenrechner!$BH12=FALSE,Kostenquotenrechner!$BI12=TRUE),Kostenquotenrechner!$V12,0),0)</f>
        <v>0</v>
      </c>
      <c r="L10" s="22">
        <f>IF(Kostenquotenrechner!$AV12,IF(AND(Kostenquotenrechner!$BF12=FALSE,Kostenquotenrechner!$BG12=TRUE,Kostenquotenrechner!$BH12=TRUE,Kostenquotenrechner!$BI12=FALSE),Kostenquotenrechner!$V12,0),0)</f>
        <v>0</v>
      </c>
      <c r="M10" s="22">
        <f>IF(Kostenquotenrechner!$AV12,IF(AND(Kostenquotenrechner!$BF12=FALSE,Kostenquotenrechner!$BG12=TRUE,Kostenquotenrechner!$BH12=FALSE,Kostenquotenrechner!$BI12=TRUE),Kostenquotenrechner!$V12,0),0)</f>
        <v>0</v>
      </c>
      <c r="N10" s="22">
        <f>IF(Kostenquotenrechner!$AV12,IF(AND(Kostenquotenrechner!$BF12=FALSE,Kostenquotenrechner!$BG12=FALSE,Kostenquotenrechner!$BH12=TRUE,Kostenquotenrechner!$BI12=TRUE),Kostenquotenrechner!$V12,0),0)</f>
        <v>0</v>
      </c>
      <c r="O10" s="22">
        <f>IF(Kostenquotenrechner!$AV12,IF(AND(Kostenquotenrechner!$BF12=TRUE,Kostenquotenrechner!$BG12=TRUE,Kostenquotenrechner!$BH12=TRUE,Kostenquotenrechner!$BI12=FALSE),Kostenquotenrechner!$V12,0),0)</f>
        <v>0</v>
      </c>
      <c r="P10" s="22">
        <f>IF(Kostenquotenrechner!$AV12,IF(AND(Kostenquotenrechner!$BF12=TRUE,Kostenquotenrechner!$BG12=TRUE,Kostenquotenrechner!$BH12=FALSE,Kostenquotenrechner!$BI12=TRUE),Kostenquotenrechner!$V12,0),0)</f>
        <v>0</v>
      </c>
      <c r="Q10" s="22">
        <f>IF(Kostenquotenrechner!$AV12,IF(AND(Kostenquotenrechner!$BF12=TRUE,Kostenquotenrechner!$BG12=FALSE,Kostenquotenrechner!$BH12=TRUE,Kostenquotenrechner!$BI12=TRUE),Kostenquotenrechner!$V12,0),0)</f>
        <v>0</v>
      </c>
      <c r="R10" s="22">
        <f>IF(Kostenquotenrechner!$AV12,IF(AND(Kostenquotenrechner!$BF12=FALSE,Kostenquotenrechner!$BG12=TRUE,Kostenquotenrechner!$BH12=TRUE,Kostenquotenrechner!$BI12=TRUE),Kostenquotenrechner!$V12,0),0)</f>
        <v>0</v>
      </c>
      <c r="S10" s="22">
        <f>IF(Kostenquotenrechner!$AV12,IF(AND(Kostenquotenrechner!$BF12=TRUE,Kostenquotenrechner!$BG12=TRUE,Kostenquotenrechner!$BH12=TRUE,Kostenquotenrechner!$BI12=TRUE),Kostenquotenrechner!$V12,0),0)</f>
        <v>0</v>
      </c>
    </row>
    <row r="11" spans="1:19" x14ac:dyDescent="0.2">
      <c r="A11" s="4" t="str">
        <f>IF(Kostenquotenrechner!B13="","",Kostenquotenrechner!B13)</f>
        <v/>
      </c>
      <c r="B11" s="22">
        <f>IF(Kostenquotenrechner!AV13=TRUE,Kostenquotenrechner!C13,0)</f>
        <v>0</v>
      </c>
      <c r="C11" s="22">
        <f>B11*COUNTIF(Kostenquotenrechner!AX13:BA13,TRUE)</f>
        <v>0</v>
      </c>
      <c r="D11" s="3"/>
      <c r="E11" s="22">
        <f>IF(Kostenquotenrechner!$AV13=TRUE,Kostenquotenrechner!N13+IF(AND(Kostenquotenrechner!$BF13=TRUE,Kostenquotenrechner!$BG13=FALSE,Kostenquotenrechner!$BH13=FALSE,Kostenquotenrechner!$BI13=FALSE),Kostenquotenrechner!$V13,0),0)</f>
        <v>0</v>
      </c>
      <c r="F11" s="22">
        <f>IF(Kostenquotenrechner!$AV13,Kostenquotenrechner!O13+IF(AND(Kostenquotenrechner!$BF13=FALSE,Kostenquotenrechner!$BG13=TRUE,Kostenquotenrechner!$BH13=FALSE,Kostenquotenrechner!$BI13=FALSE),Kostenquotenrechner!$V13,0),0)</f>
        <v>0</v>
      </c>
      <c r="G11" s="22">
        <f>IF(Kostenquotenrechner!$AV13,Kostenquotenrechner!P13+IF(AND(Kostenquotenrechner!$BF13=FALSE,Kostenquotenrechner!$BG13=FALSE,Kostenquotenrechner!$BH13=TRUE,Kostenquotenrechner!$BI13=FALSE),Kostenquotenrechner!$V13,0),0)</f>
        <v>0</v>
      </c>
      <c r="H11" s="22">
        <f>IF(Kostenquotenrechner!$AV13,Kostenquotenrechner!Q13+IF(AND(Kostenquotenrechner!$BF13=FALSE,Kostenquotenrechner!$BG13=FALSE,Kostenquotenrechner!$BH13=FALSE,Kostenquotenrechner!$BI13=TRUE),Kostenquotenrechner!$V13,0),0)</f>
        <v>0</v>
      </c>
      <c r="I11" s="22">
        <f>IF(Kostenquotenrechner!$AV13,IF(AND(Kostenquotenrechner!$BF13=TRUE,Kostenquotenrechner!$BG13=TRUE,Kostenquotenrechner!$BH13=FALSE,Kostenquotenrechner!$BI13=FALSE),Kostenquotenrechner!$V13,0),0)</f>
        <v>0</v>
      </c>
      <c r="J11" s="22">
        <f>IF(Kostenquotenrechner!$AV13,IF(AND(Kostenquotenrechner!$BF13=TRUE,Kostenquotenrechner!$BG13=FALSE,Kostenquotenrechner!$BH13=TRUE,Kostenquotenrechner!$BI13=FALSE),Kostenquotenrechner!$V13,0),0)</f>
        <v>0</v>
      </c>
      <c r="K11" s="22">
        <f>IF(Kostenquotenrechner!$AV13,IF(AND(Kostenquotenrechner!$BF13=TRUE,Kostenquotenrechner!$BG13=FALSE,Kostenquotenrechner!$BH13=FALSE,Kostenquotenrechner!$BI13=TRUE),Kostenquotenrechner!$V13,0),0)</f>
        <v>0</v>
      </c>
      <c r="L11" s="22">
        <f>IF(Kostenquotenrechner!$AV13,IF(AND(Kostenquotenrechner!$BF13=FALSE,Kostenquotenrechner!$BG13=TRUE,Kostenquotenrechner!$BH13=TRUE,Kostenquotenrechner!$BI13=FALSE),Kostenquotenrechner!$V13,0),0)</f>
        <v>0</v>
      </c>
      <c r="M11" s="22">
        <f>IF(Kostenquotenrechner!$AV13,IF(AND(Kostenquotenrechner!$BF13=FALSE,Kostenquotenrechner!$BG13=TRUE,Kostenquotenrechner!$BH13=FALSE,Kostenquotenrechner!$BI13=TRUE),Kostenquotenrechner!$V13,0),0)</f>
        <v>0</v>
      </c>
      <c r="N11" s="22">
        <f>IF(Kostenquotenrechner!$AV13,IF(AND(Kostenquotenrechner!$BF13=FALSE,Kostenquotenrechner!$BG13=FALSE,Kostenquotenrechner!$BH13=TRUE,Kostenquotenrechner!$BI13=TRUE),Kostenquotenrechner!$V13,0),0)</f>
        <v>0</v>
      </c>
      <c r="O11" s="22">
        <f>IF(Kostenquotenrechner!$AV13,IF(AND(Kostenquotenrechner!$BF13=TRUE,Kostenquotenrechner!$BG13=TRUE,Kostenquotenrechner!$BH13=TRUE,Kostenquotenrechner!$BI13=FALSE),Kostenquotenrechner!$V13,0),0)</f>
        <v>0</v>
      </c>
      <c r="P11" s="22">
        <f>IF(Kostenquotenrechner!$AV13,IF(AND(Kostenquotenrechner!$BF13=TRUE,Kostenquotenrechner!$BG13=TRUE,Kostenquotenrechner!$BH13=FALSE,Kostenquotenrechner!$BI13=TRUE),Kostenquotenrechner!$V13,0),0)</f>
        <v>0</v>
      </c>
      <c r="Q11" s="22">
        <f>IF(Kostenquotenrechner!$AV13,IF(AND(Kostenquotenrechner!$BF13=TRUE,Kostenquotenrechner!$BG13=FALSE,Kostenquotenrechner!$BH13=TRUE,Kostenquotenrechner!$BI13=TRUE),Kostenquotenrechner!$V13,0),0)</f>
        <v>0</v>
      </c>
      <c r="R11" s="22">
        <f>IF(Kostenquotenrechner!$AV13,IF(AND(Kostenquotenrechner!$BF13=FALSE,Kostenquotenrechner!$BG13=TRUE,Kostenquotenrechner!$BH13=TRUE,Kostenquotenrechner!$BI13=TRUE),Kostenquotenrechner!$V13,0),0)</f>
        <v>0</v>
      </c>
      <c r="S11" s="22">
        <f>IF(Kostenquotenrechner!$AV13,IF(AND(Kostenquotenrechner!$BF13=TRUE,Kostenquotenrechner!$BG13=TRUE,Kostenquotenrechner!$BH13=TRUE,Kostenquotenrechner!$BI13=TRUE),Kostenquotenrechner!$V13,0),0)</f>
        <v>0</v>
      </c>
    </row>
    <row r="12" spans="1:19" x14ac:dyDescent="0.2">
      <c r="A12" s="4" t="str">
        <f>IF(Kostenquotenrechner!B14="","",Kostenquotenrechner!B14)</f>
        <v/>
      </c>
      <c r="B12" s="22">
        <f>IF(Kostenquotenrechner!AV14=TRUE,Kostenquotenrechner!C14,0)</f>
        <v>0</v>
      </c>
      <c r="C12" s="22">
        <f>B12*COUNTIF(Kostenquotenrechner!AX14:BA14,TRUE)</f>
        <v>0</v>
      </c>
      <c r="D12" s="3"/>
      <c r="E12" s="22">
        <f>IF(Kostenquotenrechner!$AV14=TRUE,Kostenquotenrechner!N14+IF(AND(Kostenquotenrechner!$BF14=TRUE,Kostenquotenrechner!$BG14=FALSE,Kostenquotenrechner!$BH14=FALSE,Kostenquotenrechner!$BI14=FALSE),Kostenquotenrechner!$V14,0),0)</f>
        <v>0</v>
      </c>
      <c r="F12" s="22">
        <f>IF(Kostenquotenrechner!$AV14,Kostenquotenrechner!O14+IF(AND(Kostenquotenrechner!$BF14=FALSE,Kostenquotenrechner!$BG14=TRUE,Kostenquotenrechner!$BH14=FALSE,Kostenquotenrechner!$BI14=FALSE),Kostenquotenrechner!$V14,0),0)</f>
        <v>0</v>
      </c>
      <c r="G12" s="22">
        <f>IF(Kostenquotenrechner!$AV14,Kostenquotenrechner!P14+IF(AND(Kostenquotenrechner!$BF14=FALSE,Kostenquotenrechner!$BG14=FALSE,Kostenquotenrechner!$BH14=TRUE,Kostenquotenrechner!$BI14=FALSE),Kostenquotenrechner!$V14,0),0)</f>
        <v>0</v>
      </c>
      <c r="H12" s="22">
        <f>IF(Kostenquotenrechner!$AV14,Kostenquotenrechner!Q14+IF(AND(Kostenquotenrechner!$BF14=FALSE,Kostenquotenrechner!$BG14=FALSE,Kostenquotenrechner!$BH14=FALSE,Kostenquotenrechner!$BI14=TRUE),Kostenquotenrechner!$V14,0),0)</f>
        <v>0</v>
      </c>
      <c r="I12" s="22">
        <f>IF(Kostenquotenrechner!$AV14,IF(AND(Kostenquotenrechner!$BF14=TRUE,Kostenquotenrechner!$BG14=TRUE,Kostenquotenrechner!$BH14=FALSE,Kostenquotenrechner!$BI14=FALSE),Kostenquotenrechner!$V14,0),0)</f>
        <v>0</v>
      </c>
      <c r="J12" s="22">
        <f>IF(Kostenquotenrechner!$AV14,IF(AND(Kostenquotenrechner!$BF14=TRUE,Kostenquotenrechner!$BG14=FALSE,Kostenquotenrechner!$BH14=TRUE,Kostenquotenrechner!$BI14=FALSE),Kostenquotenrechner!$V14,0),0)</f>
        <v>0</v>
      </c>
      <c r="K12" s="22">
        <f>IF(Kostenquotenrechner!$AV14,IF(AND(Kostenquotenrechner!$BF14=TRUE,Kostenquotenrechner!$BG14=FALSE,Kostenquotenrechner!$BH14=FALSE,Kostenquotenrechner!$BI14=TRUE),Kostenquotenrechner!$V14,0),0)</f>
        <v>0</v>
      </c>
      <c r="L12" s="22">
        <f>IF(Kostenquotenrechner!$AV14,IF(AND(Kostenquotenrechner!$BF14=FALSE,Kostenquotenrechner!$BG14=TRUE,Kostenquotenrechner!$BH14=TRUE,Kostenquotenrechner!$BI14=FALSE),Kostenquotenrechner!$V14,0),0)</f>
        <v>0</v>
      </c>
      <c r="M12" s="22">
        <f>IF(Kostenquotenrechner!$AV14,IF(AND(Kostenquotenrechner!$BF14=FALSE,Kostenquotenrechner!$BG14=TRUE,Kostenquotenrechner!$BH14=FALSE,Kostenquotenrechner!$BI14=TRUE),Kostenquotenrechner!$V14,0),0)</f>
        <v>0</v>
      </c>
      <c r="N12" s="22">
        <f>IF(Kostenquotenrechner!$AV14,IF(AND(Kostenquotenrechner!$BF14=FALSE,Kostenquotenrechner!$BG14=FALSE,Kostenquotenrechner!$BH14=TRUE,Kostenquotenrechner!$BI14=TRUE),Kostenquotenrechner!$V14,0),0)</f>
        <v>0</v>
      </c>
      <c r="O12" s="22">
        <f>IF(Kostenquotenrechner!$AV14,IF(AND(Kostenquotenrechner!$BF14=TRUE,Kostenquotenrechner!$BG14=TRUE,Kostenquotenrechner!$BH14=TRUE,Kostenquotenrechner!$BI14=FALSE),Kostenquotenrechner!$V14,0),0)</f>
        <v>0</v>
      </c>
      <c r="P12" s="22">
        <f>IF(Kostenquotenrechner!$AV14,IF(AND(Kostenquotenrechner!$BF14=TRUE,Kostenquotenrechner!$BG14=TRUE,Kostenquotenrechner!$BH14=FALSE,Kostenquotenrechner!$BI14=TRUE),Kostenquotenrechner!$V14,0),0)</f>
        <v>0</v>
      </c>
      <c r="Q12" s="22">
        <f>IF(Kostenquotenrechner!$AV14,IF(AND(Kostenquotenrechner!$BF14=TRUE,Kostenquotenrechner!$BG14=FALSE,Kostenquotenrechner!$BH14=TRUE,Kostenquotenrechner!$BI14=TRUE),Kostenquotenrechner!$V14,0),0)</f>
        <v>0</v>
      </c>
      <c r="R12" s="22">
        <f>IF(Kostenquotenrechner!$AV14,IF(AND(Kostenquotenrechner!$BF14=FALSE,Kostenquotenrechner!$BG14=TRUE,Kostenquotenrechner!$BH14=TRUE,Kostenquotenrechner!$BI14=TRUE),Kostenquotenrechner!$V14,0),0)</f>
        <v>0</v>
      </c>
      <c r="S12" s="22">
        <f>IF(Kostenquotenrechner!$AV14,IF(AND(Kostenquotenrechner!$BF14=TRUE,Kostenquotenrechner!$BG14=TRUE,Kostenquotenrechner!$BH14=TRUE,Kostenquotenrechner!$BI14=TRUE),Kostenquotenrechner!$V14,0),0)</f>
        <v>0</v>
      </c>
    </row>
    <row r="13" spans="1:19" x14ac:dyDescent="0.2">
      <c r="A13" s="4" t="str">
        <f>IF(Kostenquotenrechner!B15="","",Kostenquotenrechner!B15)</f>
        <v/>
      </c>
      <c r="B13" s="22">
        <f>IF(Kostenquotenrechner!AV15=TRUE,Kostenquotenrechner!C15,0)</f>
        <v>0</v>
      </c>
      <c r="C13" s="22">
        <f>B13*COUNTIF(Kostenquotenrechner!AX15:BA15,TRUE)</f>
        <v>0</v>
      </c>
      <c r="D13" s="3"/>
      <c r="E13" s="22">
        <f>IF(Kostenquotenrechner!$AV15=TRUE,Kostenquotenrechner!N15+IF(AND(Kostenquotenrechner!$BF15=TRUE,Kostenquotenrechner!$BG15=FALSE,Kostenquotenrechner!$BH15=FALSE,Kostenquotenrechner!$BI15=FALSE),Kostenquotenrechner!$V15,0),0)</f>
        <v>0</v>
      </c>
      <c r="F13" s="22">
        <f>IF(Kostenquotenrechner!$AV15,Kostenquotenrechner!O15+IF(AND(Kostenquotenrechner!$BF15=FALSE,Kostenquotenrechner!$BG15=TRUE,Kostenquotenrechner!$BH15=FALSE,Kostenquotenrechner!$BI15=FALSE),Kostenquotenrechner!$V15,0),0)</f>
        <v>0</v>
      </c>
      <c r="G13" s="22">
        <f>IF(Kostenquotenrechner!$AV15,Kostenquotenrechner!P15+IF(AND(Kostenquotenrechner!$BF15=FALSE,Kostenquotenrechner!$BG15=FALSE,Kostenquotenrechner!$BH15=TRUE,Kostenquotenrechner!$BI15=FALSE),Kostenquotenrechner!$V15,0),0)</f>
        <v>0</v>
      </c>
      <c r="H13" s="22">
        <f>IF(Kostenquotenrechner!$AV15,Kostenquotenrechner!Q15+IF(AND(Kostenquotenrechner!$BF15=FALSE,Kostenquotenrechner!$BG15=FALSE,Kostenquotenrechner!$BH15=FALSE,Kostenquotenrechner!$BI15=TRUE),Kostenquotenrechner!$V15,0),0)</f>
        <v>0</v>
      </c>
      <c r="I13" s="22">
        <f>IF(Kostenquotenrechner!$AV15,IF(AND(Kostenquotenrechner!$BF15=TRUE,Kostenquotenrechner!$BG15=TRUE,Kostenquotenrechner!$BH15=FALSE,Kostenquotenrechner!$BI15=FALSE),Kostenquotenrechner!$V15,0),0)</f>
        <v>0</v>
      </c>
      <c r="J13" s="22">
        <f>IF(Kostenquotenrechner!$AV15,IF(AND(Kostenquotenrechner!$BF15=TRUE,Kostenquotenrechner!$BG15=FALSE,Kostenquotenrechner!$BH15=TRUE,Kostenquotenrechner!$BI15=FALSE),Kostenquotenrechner!$V15,0),0)</f>
        <v>0</v>
      </c>
      <c r="K13" s="22">
        <f>IF(Kostenquotenrechner!$AV15,IF(AND(Kostenquotenrechner!$BF15=TRUE,Kostenquotenrechner!$BG15=FALSE,Kostenquotenrechner!$BH15=FALSE,Kostenquotenrechner!$BI15=TRUE),Kostenquotenrechner!$V15,0),0)</f>
        <v>0</v>
      </c>
      <c r="L13" s="22">
        <f>IF(Kostenquotenrechner!$AV15,IF(AND(Kostenquotenrechner!$BF15=FALSE,Kostenquotenrechner!$BG15=TRUE,Kostenquotenrechner!$BH15=TRUE,Kostenquotenrechner!$BI15=FALSE),Kostenquotenrechner!$V15,0),0)</f>
        <v>0</v>
      </c>
      <c r="M13" s="22">
        <f>IF(Kostenquotenrechner!$AV15,IF(AND(Kostenquotenrechner!$BF15=FALSE,Kostenquotenrechner!$BG15=TRUE,Kostenquotenrechner!$BH15=FALSE,Kostenquotenrechner!$BI15=TRUE),Kostenquotenrechner!$V15,0),0)</f>
        <v>0</v>
      </c>
      <c r="N13" s="22">
        <f>IF(Kostenquotenrechner!$AV15,IF(AND(Kostenquotenrechner!$BF15=FALSE,Kostenquotenrechner!$BG15=FALSE,Kostenquotenrechner!$BH15=TRUE,Kostenquotenrechner!$BI15=TRUE),Kostenquotenrechner!$V15,0),0)</f>
        <v>0</v>
      </c>
      <c r="O13" s="22">
        <f>IF(Kostenquotenrechner!$AV15,IF(AND(Kostenquotenrechner!$BF15=TRUE,Kostenquotenrechner!$BG15=TRUE,Kostenquotenrechner!$BH15=TRUE,Kostenquotenrechner!$BI15=FALSE),Kostenquotenrechner!$V15,0),0)</f>
        <v>0</v>
      </c>
      <c r="P13" s="22">
        <f>IF(Kostenquotenrechner!$AV15,IF(AND(Kostenquotenrechner!$BF15=TRUE,Kostenquotenrechner!$BG15=TRUE,Kostenquotenrechner!$BH15=FALSE,Kostenquotenrechner!$BI15=TRUE),Kostenquotenrechner!$V15,0),0)</f>
        <v>0</v>
      </c>
      <c r="Q13" s="22">
        <f>IF(Kostenquotenrechner!$AV15,IF(AND(Kostenquotenrechner!$BF15=TRUE,Kostenquotenrechner!$BG15=FALSE,Kostenquotenrechner!$BH15=TRUE,Kostenquotenrechner!$BI15=TRUE),Kostenquotenrechner!$V15,0),0)</f>
        <v>0</v>
      </c>
      <c r="R13" s="22">
        <f>IF(Kostenquotenrechner!$AV15,IF(AND(Kostenquotenrechner!$BF15=FALSE,Kostenquotenrechner!$BG15=TRUE,Kostenquotenrechner!$BH15=TRUE,Kostenquotenrechner!$BI15=TRUE),Kostenquotenrechner!$V15,0),0)</f>
        <v>0</v>
      </c>
      <c r="S13" s="22">
        <f>IF(Kostenquotenrechner!$AV15,IF(AND(Kostenquotenrechner!$BF15=TRUE,Kostenquotenrechner!$BG15=TRUE,Kostenquotenrechner!$BH15=TRUE,Kostenquotenrechner!$BI15=TRUE),Kostenquotenrechner!$V15,0),0)</f>
        <v>0</v>
      </c>
    </row>
    <row r="14" spans="1:19" x14ac:dyDescent="0.2">
      <c r="A14" s="2" t="s">
        <v>12</v>
      </c>
      <c r="E14" s="2" t="s">
        <v>13</v>
      </c>
    </row>
    <row r="15" spans="1:19" x14ac:dyDescent="0.2">
      <c r="A15" s="4" t="s">
        <v>438</v>
      </c>
      <c r="B15" s="2" t="s">
        <v>589</v>
      </c>
      <c r="C15" s="2" t="s">
        <v>440</v>
      </c>
      <c r="E15" s="2" t="s">
        <v>436</v>
      </c>
      <c r="F15" s="2" t="s">
        <v>437</v>
      </c>
      <c r="G15" s="2" t="s">
        <v>441</v>
      </c>
      <c r="H15" s="2" t="s">
        <v>442</v>
      </c>
      <c r="I15" s="2" t="s">
        <v>443</v>
      </c>
      <c r="J15" s="2" t="s">
        <v>444</v>
      </c>
      <c r="K15" s="2" t="s">
        <v>445</v>
      </c>
      <c r="L15" s="2" t="s">
        <v>446</v>
      </c>
      <c r="M15" s="2" t="s">
        <v>447</v>
      </c>
      <c r="N15" s="2" t="s">
        <v>448</v>
      </c>
      <c r="O15" s="2" t="s">
        <v>449</v>
      </c>
      <c r="P15" s="2" t="s">
        <v>450</v>
      </c>
      <c r="Q15" s="2" t="s">
        <v>451</v>
      </c>
      <c r="R15" s="2" t="s">
        <v>452</v>
      </c>
      <c r="S15" s="2" t="s">
        <v>453</v>
      </c>
    </row>
    <row r="16" spans="1:19" x14ac:dyDescent="0.2">
      <c r="A16" s="4"/>
      <c r="B16" s="22">
        <f>IF(Kostenquotenrechner!AW6=TRUE,Kostenquotenrechner!C6,0)</f>
        <v>0</v>
      </c>
      <c r="C16" s="22">
        <f>B16*COUNTIF(Kostenquotenrechner!AX6:BA6,TRUE)</f>
        <v>0</v>
      </c>
      <c r="D16" s="3"/>
      <c r="E16" s="22">
        <f>IF(Kostenquotenrechner!$AW6=TRUE,Kostenquotenrechner!N6+IF(AND(Kostenquotenrechner!$BF6=TRUE,Kostenquotenrechner!$BG6=FALSE,Kostenquotenrechner!$BH6=FALSE,Kostenquotenrechner!$BI6=FALSE),Kostenquotenrechner!$V6,0),0)</f>
        <v>0</v>
      </c>
      <c r="F16" s="22">
        <f>IF(Kostenquotenrechner!$AW6,Kostenquotenrechner!O6+IF(AND(Kostenquotenrechner!$BF6=FALSE,Kostenquotenrechner!$BG6=TRUE,Kostenquotenrechner!$BH6=FALSE,Kostenquotenrechner!$BI6=FALSE),Kostenquotenrechner!$V6,0),0)</f>
        <v>0</v>
      </c>
      <c r="G16" s="22">
        <f>IF(Kostenquotenrechner!$AW6,Kostenquotenrechner!P6+IF(AND(Kostenquotenrechner!$BF6=FALSE,Kostenquotenrechner!$BG6=FALSE,Kostenquotenrechner!$BH6=TRUE,Kostenquotenrechner!$BI6=FALSE),Kostenquotenrechner!$V6,0),0)</f>
        <v>0</v>
      </c>
      <c r="H16" s="22">
        <f>IF(Kostenquotenrechner!$AW6,Kostenquotenrechner!Q6+IF(AND(Kostenquotenrechner!$BF6=FALSE,Kostenquotenrechner!$BG6=FALSE,Kostenquotenrechner!$BH6=FALSE,Kostenquotenrechner!$BI6=TRUE),Kostenquotenrechner!$V6,0),0)</f>
        <v>0</v>
      </c>
      <c r="I16" s="22">
        <f>IF(Kostenquotenrechner!$AW6,IF(AND(Kostenquotenrechner!$BF6=TRUE,Kostenquotenrechner!$BG6=TRUE,Kostenquotenrechner!$BH6=FALSE,Kostenquotenrechner!$BI6=FALSE),Kostenquotenrechner!$V6,0),0)</f>
        <v>0</v>
      </c>
      <c r="J16" s="22">
        <f>IF(Kostenquotenrechner!$AW6,IF(AND(Kostenquotenrechner!$BF6=TRUE,Kostenquotenrechner!$BG6=FALSE,Kostenquotenrechner!$BH6=TRUE,Kostenquotenrechner!$BI6=FALSE),Kostenquotenrechner!$V6,0),0)</f>
        <v>0</v>
      </c>
      <c r="K16" s="22">
        <f>IF(Kostenquotenrechner!$AW6,IF(AND(Kostenquotenrechner!$BF6=TRUE,Kostenquotenrechner!$BG6=FALSE,Kostenquotenrechner!$BH6=FALSE,Kostenquotenrechner!$BI6=TRUE),Kostenquotenrechner!$V6,0),0)</f>
        <v>0</v>
      </c>
      <c r="L16" s="22">
        <f>IF(Kostenquotenrechner!$AW6,IF(AND(Kostenquotenrechner!$BF6=FALSE,Kostenquotenrechner!$BG6=TRUE,Kostenquotenrechner!$BH6=TRUE,Kostenquotenrechner!$BI6=FALSE),Kostenquotenrechner!$V6,0),0)</f>
        <v>0</v>
      </c>
      <c r="M16" s="22">
        <f>IF(Kostenquotenrechner!$AW6,IF(AND(Kostenquotenrechner!$BF6=FALSE,Kostenquotenrechner!$BG6=TRUE,Kostenquotenrechner!$BH6=FALSE,Kostenquotenrechner!$BI6=TRUE),Kostenquotenrechner!$V6,0),0)</f>
        <v>0</v>
      </c>
      <c r="N16" s="22">
        <f>IF(Kostenquotenrechner!$AW6,IF(AND(Kostenquotenrechner!$BF6=FALSE,Kostenquotenrechner!$BG6=FALSE,Kostenquotenrechner!$BH6=TRUE,Kostenquotenrechner!$BI6=TRUE),Kostenquotenrechner!$V6,0),0)</f>
        <v>0</v>
      </c>
      <c r="O16" s="22">
        <f>IF(Kostenquotenrechner!$AW6,IF(AND(Kostenquotenrechner!$BF6=TRUE,Kostenquotenrechner!$BG6=TRUE,Kostenquotenrechner!$BH6=TRUE,Kostenquotenrechner!$BI6=FALSE),Kostenquotenrechner!$V6,0),0)</f>
        <v>0</v>
      </c>
      <c r="P16" s="22">
        <f>IF(Kostenquotenrechner!$AW6,IF(AND(Kostenquotenrechner!$BF6=TRUE,Kostenquotenrechner!$BG6=TRUE,Kostenquotenrechner!$BH6=FALSE,Kostenquotenrechner!$BI6=TRUE),Kostenquotenrechner!$V6,0),0)</f>
        <v>0</v>
      </c>
      <c r="Q16" s="22">
        <f>IF(Kostenquotenrechner!$AW6,IF(AND(Kostenquotenrechner!$BF6=TRUE,Kostenquotenrechner!$BG6=FALSE,Kostenquotenrechner!$BH6=TRUE,Kostenquotenrechner!$BI6=TRUE),Kostenquotenrechner!$V6,0),0)</f>
        <v>0</v>
      </c>
      <c r="R16" s="22">
        <f>IF(Kostenquotenrechner!$AW6,IF(AND(Kostenquotenrechner!$BF6=FALSE,Kostenquotenrechner!$BG6=TRUE,Kostenquotenrechner!$BH6=TRUE,Kostenquotenrechner!$BI6=TRUE),Kostenquotenrechner!$V6,0),0)</f>
        <v>0</v>
      </c>
      <c r="S16" s="22">
        <f>IF(Kostenquotenrechner!$AW6,IF(AND(Kostenquotenrechner!$BF6=TRUE,Kostenquotenrechner!$BG6=TRUE,Kostenquotenrechner!$BH6=TRUE,Kostenquotenrechner!$BI6=TRUE),Kostenquotenrechner!$V6,0),0)</f>
        <v>0</v>
      </c>
    </row>
    <row r="17" spans="1:24" x14ac:dyDescent="0.2">
      <c r="A17" s="4"/>
      <c r="B17" s="22">
        <f>IF(Kostenquotenrechner!AW7=TRUE,Kostenquotenrechner!C7,0)</f>
        <v>0</v>
      </c>
      <c r="C17" s="22">
        <f>B17*COUNTIF(Kostenquotenrechner!AX7:BA7,TRUE)</f>
        <v>0</v>
      </c>
      <c r="D17" s="3"/>
      <c r="E17" s="22">
        <f>IF(Kostenquotenrechner!$AW7=TRUE,Kostenquotenrechner!N7+IF(AND(Kostenquotenrechner!$BF7=TRUE,Kostenquotenrechner!$BG7=FALSE,Kostenquotenrechner!$BH7=FALSE,Kostenquotenrechner!$BI7=FALSE),Kostenquotenrechner!$V7,0),0)</f>
        <v>0</v>
      </c>
      <c r="F17" s="22">
        <f>IF(Kostenquotenrechner!$AW7,Kostenquotenrechner!O7+IF(AND(Kostenquotenrechner!$BF7=FALSE,Kostenquotenrechner!$BG7=TRUE,Kostenquotenrechner!$BH7=FALSE,Kostenquotenrechner!$BI7=FALSE),Kostenquotenrechner!$V7,0),0)</f>
        <v>0</v>
      </c>
      <c r="G17" s="22">
        <f>IF(Kostenquotenrechner!$AW7,Kostenquotenrechner!P7+IF(AND(Kostenquotenrechner!$BF7=FALSE,Kostenquotenrechner!$BG7=FALSE,Kostenquotenrechner!$BH7=TRUE,Kostenquotenrechner!$BI7=FALSE),Kostenquotenrechner!$V7,0),0)</f>
        <v>0</v>
      </c>
      <c r="H17" s="22">
        <f>IF(Kostenquotenrechner!$AW7,Kostenquotenrechner!Q7+IF(AND(Kostenquotenrechner!$BF7=FALSE,Kostenquotenrechner!$BG7=FALSE,Kostenquotenrechner!$BH7=FALSE,Kostenquotenrechner!$BI7=TRUE),Kostenquotenrechner!$V7,0),0)</f>
        <v>0</v>
      </c>
      <c r="I17" s="22">
        <f>IF(Kostenquotenrechner!$AW7,IF(AND(Kostenquotenrechner!$BF7=TRUE,Kostenquotenrechner!$BG7=TRUE,Kostenquotenrechner!$BH7=FALSE,Kostenquotenrechner!$BI7=FALSE),Kostenquotenrechner!$V7,0),0)</f>
        <v>0</v>
      </c>
      <c r="J17" s="22">
        <f>IF(Kostenquotenrechner!$AW7,IF(AND(Kostenquotenrechner!$BF7=TRUE,Kostenquotenrechner!$BG7=FALSE,Kostenquotenrechner!$BH7=TRUE,Kostenquotenrechner!$BI7=FALSE),Kostenquotenrechner!$V7,0),0)</f>
        <v>0</v>
      </c>
      <c r="K17" s="22">
        <f>IF(Kostenquotenrechner!$AW7,IF(AND(Kostenquotenrechner!$BF7=TRUE,Kostenquotenrechner!$BG7=FALSE,Kostenquotenrechner!$BH7=FALSE,Kostenquotenrechner!$BI7=TRUE),Kostenquotenrechner!$V7,0),0)</f>
        <v>0</v>
      </c>
      <c r="L17" s="22">
        <f>IF(Kostenquotenrechner!$AW7,IF(AND(Kostenquotenrechner!$BF7=FALSE,Kostenquotenrechner!$BG7=TRUE,Kostenquotenrechner!$BH7=TRUE,Kostenquotenrechner!$BI7=FALSE),Kostenquotenrechner!$V7,0),0)</f>
        <v>0</v>
      </c>
      <c r="M17" s="22">
        <f>IF(Kostenquotenrechner!$AW7,IF(AND(Kostenquotenrechner!$BF7=FALSE,Kostenquotenrechner!$BG7=TRUE,Kostenquotenrechner!$BH7=FALSE,Kostenquotenrechner!$BI7=TRUE),Kostenquotenrechner!$V7,0),0)</f>
        <v>0</v>
      </c>
      <c r="N17" s="22">
        <f>IF(Kostenquotenrechner!$AW7,IF(AND(Kostenquotenrechner!$BF7=FALSE,Kostenquotenrechner!$BG7=FALSE,Kostenquotenrechner!$BH7=TRUE,Kostenquotenrechner!$BI7=TRUE),Kostenquotenrechner!$V7,0),0)</f>
        <v>0</v>
      </c>
      <c r="O17" s="22">
        <f>IF(Kostenquotenrechner!$AW7,IF(AND(Kostenquotenrechner!$BF7=TRUE,Kostenquotenrechner!$BG7=TRUE,Kostenquotenrechner!$BH7=TRUE,Kostenquotenrechner!$BI7=FALSE),Kostenquotenrechner!$V7,0),0)</f>
        <v>0</v>
      </c>
      <c r="P17" s="22">
        <f>IF(Kostenquotenrechner!$AW7,IF(AND(Kostenquotenrechner!$BF7=TRUE,Kostenquotenrechner!$BG7=TRUE,Kostenquotenrechner!$BH7=FALSE,Kostenquotenrechner!$BI7=TRUE),Kostenquotenrechner!$V7,0),0)</f>
        <v>0</v>
      </c>
      <c r="Q17" s="22">
        <f>IF(Kostenquotenrechner!$AW7,IF(AND(Kostenquotenrechner!$BF7=TRUE,Kostenquotenrechner!$BG7=FALSE,Kostenquotenrechner!$BH7=TRUE,Kostenquotenrechner!$BI7=TRUE),Kostenquotenrechner!$V7,0),0)</f>
        <v>0</v>
      </c>
      <c r="R17" s="22">
        <f>IF(Kostenquotenrechner!$AW7,IF(AND(Kostenquotenrechner!$BF7=FALSE,Kostenquotenrechner!$BG7=TRUE,Kostenquotenrechner!$BH7=TRUE,Kostenquotenrechner!$BI7=TRUE),Kostenquotenrechner!$V7,0),0)</f>
        <v>0</v>
      </c>
      <c r="S17" s="22">
        <f>IF(Kostenquotenrechner!$AW7,IF(AND(Kostenquotenrechner!$BF7=TRUE,Kostenquotenrechner!$BG7=TRUE,Kostenquotenrechner!$BH7=TRUE,Kostenquotenrechner!$BI7=TRUE),Kostenquotenrechner!$V7,0),0)</f>
        <v>0</v>
      </c>
    </row>
    <row r="18" spans="1:24" x14ac:dyDescent="0.2">
      <c r="A18" s="4"/>
      <c r="B18" s="22">
        <f>IF(Kostenquotenrechner!AW8=TRUE,Kostenquotenrechner!C8,0)</f>
        <v>0</v>
      </c>
      <c r="C18" s="22">
        <f>B18*COUNTIF(Kostenquotenrechner!AX8:BA8,TRUE)</f>
        <v>0</v>
      </c>
      <c r="D18" s="3"/>
      <c r="E18" s="22">
        <f>IF(Kostenquotenrechner!$AW8=TRUE,Kostenquotenrechner!N8+IF(AND(Kostenquotenrechner!$BF8=TRUE,Kostenquotenrechner!$BG8=FALSE,Kostenquotenrechner!$BH8=FALSE,Kostenquotenrechner!$BI8=FALSE),Kostenquotenrechner!$V8,0),0)</f>
        <v>0</v>
      </c>
      <c r="F18" s="22">
        <f>IF(Kostenquotenrechner!$AW8,Kostenquotenrechner!O8+IF(AND(Kostenquotenrechner!$BF8=FALSE,Kostenquotenrechner!$BG8=TRUE,Kostenquotenrechner!$BH8=FALSE,Kostenquotenrechner!$BI8=FALSE),Kostenquotenrechner!$V8,0),0)</f>
        <v>0</v>
      </c>
      <c r="G18" s="22">
        <f>IF(Kostenquotenrechner!$AW8,Kostenquotenrechner!P8+IF(AND(Kostenquotenrechner!$BF8=FALSE,Kostenquotenrechner!$BG8=FALSE,Kostenquotenrechner!$BH8=TRUE,Kostenquotenrechner!$BI8=FALSE),Kostenquotenrechner!$V8,0),0)</f>
        <v>0</v>
      </c>
      <c r="H18" s="22">
        <f>IF(Kostenquotenrechner!$AW8,Kostenquotenrechner!Q8+IF(AND(Kostenquotenrechner!$BF8=FALSE,Kostenquotenrechner!$BG8=FALSE,Kostenquotenrechner!$BH8=FALSE,Kostenquotenrechner!$BI8=TRUE),Kostenquotenrechner!$V8,0),0)</f>
        <v>0</v>
      </c>
      <c r="I18" s="22">
        <f>IF(Kostenquotenrechner!$AW8,IF(AND(Kostenquotenrechner!$BF8=TRUE,Kostenquotenrechner!$BG8=TRUE,Kostenquotenrechner!$BH8=FALSE,Kostenquotenrechner!$BI8=FALSE),Kostenquotenrechner!$V8,0),0)</f>
        <v>0</v>
      </c>
      <c r="J18" s="22">
        <f>IF(Kostenquotenrechner!$AW8,IF(AND(Kostenquotenrechner!$BF8=TRUE,Kostenquotenrechner!$BG8=FALSE,Kostenquotenrechner!$BH8=TRUE,Kostenquotenrechner!$BI8=FALSE),Kostenquotenrechner!$V8,0),0)</f>
        <v>0</v>
      </c>
      <c r="K18" s="22">
        <f>IF(Kostenquotenrechner!$AW8,IF(AND(Kostenquotenrechner!$BF8=TRUE,Kostenquotenrechner!$BG8=FALSE,Kostenquotenrechner!$BH8=FALSE,Kostenquotenrechner!$BI8=TRUE),Kostenquotenrechner!$V8,0),0)</f>
        <v>0</v>
      </c>
      <c r="L18" s="22">
        <f>IF(Kostenquotenrechner!$AW8,IF(AND(Kostenquotenrechner!$BF8=FALSE,Kostenquotenrechner!$BG8=TRUE,Kostenquotenrechner!$BH8=TRUE,Kostenquotenrechner!$BI8=FALSE),Kostenquotenrechner!$V8,0),0)</f>
        <v>0</v>
      </c>
      <c r="M18" s="22">
        <f>IF(Kostenquotenrechner!$AW8,IF(AND(Kostenquotenrechner!$BF8=FALSE,Kostenquotenrechner!$BG8=TRUE,Kostenquotenrechner!$BH8=FALSE,Kostenquotenrechner!$BI8=TRUE),Kostenquotenrechner!$V8,0),0)</f>
        <v>0</v>
      </c>
      <c r="N18" s="22">
        <f>IF(Kostenquotenrechner!$AW8,IF(AND(Kostenquotenrechner!$BF8=FALSE,Kostenquotenrechner!$BG8=FALSE,Kostenquotenrechner!$BH8=TRUE,Kostenquotenrechner!$BI8=TRUE),Kostenquotenrechner!$V8,0),0)</f>
        <v>0</v>
      </c>
      <c r="O18" s="22">
        <f>IF(Kostenquotenrechner!$AW8,IF(AND(Kostenquotenrechner!$BF8=TRUE,Kostenquotenrechner!$BG8=TRUE,Kostenquotenrechner!$BH8=TRUE,Kostenquotenrechner!$BI8=FALSE),Kostenquotenrechner!$V8,0),0)</f>
        <v>0</v>
      </c>
      <c r="P18" s="22">
        <f>IF(Kostenquotenrechner!$AW8,IF(AND(Kostenquotenrechner!$BF8=TRUE,Kostenquotenrechner!$BG8=TRUE,Kostenquotenrechner!$BH8=FALSE,Kostenquotenrechner!$BI8=TRUE),Kostenquotenrechner!$V8,0),0)</f>
        <v>0</v>
      </c>
      <c r="Q18" s="22">
        <f>IF(Kostenquotenrechner!$AW8,IF(AND(Kostenquotenrechner!$BF8=TRUE,Kostenquotenrechner!$BG8=FALSE,Kostenquotenrechner!$BH8=TRUE,Kostenquotenrechner!$BI8=TRUE),Kostenquotenrechner!$V8,0),0)</f>
        <v>0</v>
      </c>
      <c r="R18" s="22">
        <f>IF(Kostenquotenrechner!$AW8,IF(AND(Kostenquotenrechner!$BF8=FALSE,Kostenquotenrechner!$BG8=TRUE,Kostenquotenrechner!$BH8=TRUE,Kostenquotenrechner!$BI8=TRUE),Kostenquotenrechner!$V8,0),0)</f>
        <v>0</v>
      </c>
      <c r="S18" s="22">
        <f>IF(Kostenquotenrechner!$AW8,IF(AND(Kostenquotenrechner!$BF8=TRUE,Kostenquotenrechner!$BG8=TRUE,Kostenquotenrechner!$BH8=TRUE,Kostenquotenrechner!$BI8=TRUE),Kostenquotenrechner!$V8,0),0)</f>
        <v>0</v>
      </c>
    </row>
    <row r="19" spans="1:24" x14ac:dyDescent="0.2">
      <c r="A19" s="4"/>
      <c r="B19" s="22">
        <f>IF(Kostenquotenrechner!AW9=TRUE,Kostenquotenrechner!C9,0)</f>
        <v>0</v>
      </c>
      <c r="C19" s="22">
        <f>B19*COUNTIF(Kostenquotenrechner!AX9:BA9,TRUE)</f>
        <v>0</v>
      </c>
      <c r="D19" s="3"/>
      <c r="E19" s="22">
        <f>IF(Kostenquotenrechner!$AW9=TRUE,Kostenquotenrechner!N9+IF(AND(Kostenquotenrechner!$BF9=TRUE,Kostenquotenrechner!$BG9=FALSE,Kostenquotenrechner!$BH9=FALSE,Kostenquotenrechner!$BI9=FALSE),Kostenquotenrechner!$V9,0),0)</f>
        <v>0</v>
      </c>
      <c r="F19" s="22">
        <f>IF(Kostenquotenrechner!$AW9,Kostenquotenrechner!O9+IF(AND(Kostenquotenrechner!$BF9=FALSE,Kostenquotenrechner!$BG9=TRUE,Kostenquotenrechner!$BH9=FALSE,Kostenquotenrechner!$BI9=FALSE),Kostenquotenrechner!$V9,0),0)</f>
        <v>0</v>
      </c>
      <c r="G19" s="22">
        <f>IF(Kostenquotenrechner!$AW9,Kostenquotenrechner!P9+IF(AND(Kostenquotenrechner!$BF9=FALSE,Kostenquotenrechner!$BG9=FALSE,Kostenquotenrechner!$BH9=TRUE,Kostenquotenrechner!$BI9=FALSE),Kostenquotenrechner!$V9,0),0)</f>
        <v>0</v>
      </c>
      <c r="H19" s="22">
        <f>IF(Kostenquotenrechner!$AW9,Kostenquotenrechner!Q9+IF(AND(Kostenquotenrechner!$BF9=FALSE,Kostenquotenrechner!$BG9=FALSE,Kostenquotenrechner!$BH9=FALSE,Kostenquotenrechner!$BI9=TRUE),Kostenquotenrechner!$V9,0),0)</f>
        <v>0</v>
      </c>
      <c r="I19" s="22">
        <f>IF(Kostenquotenrechner!$AW9,IF(AND(Kostenquotenrechner!$BF9=TRUE,Kostenquotenrechner!$BG9=TRUE,Kostenquotenrechner!$BH9=FALSE,Kostenquotenrechner!$BI9=FALSE),Kostenquotenrechner!$V9,0),0)</f>
        <v>0</v>
      </c>
      <c r="J19" s="22">
        <f>IF(Kostenquotenrechner!$AW9,IF(AND(Kostenquotenrechner!$BF9=TRUE,Kostenquotenrechner!$BG9=FALSE,Kostenquotenrechner!$BH9=TRUE,Kostenquotenrechner!$BI9=FALSE),Kostenquotenrechner!$V9,0),0)</f>
        <v>0</v>
      </c>
      <c r="K19" s="22">
        <f>IF(Kostenquotenrechner!$AW9,IF(AND(Kostenquotenrechner!$BF9=TRUE,Kostenquotenrechner!$BG9=FALSE,Kostenquotenrechner!$BH9=FALSE,Kostenquotenrechner!$BI9=TRUE),Kostenquotenrechner!$V9,0),0)</f>
        <v>0</v>
      </c>
      <c r="L19" s="22">
        <f>IF(Kostenquotenrechner!$AW9,IF(AND(Kostenquotenrechner!$BF9=FALSE,Kostenquotenrechner!$BG9=TRUE,Kostenquotenrechner!$BH9=TRUE,Kostenquotenrechner!$BI9=FALSE),Kostenquotenrechner!$V9,0),0)</f>
        <v>0</v>
      </c>
      <c r="M19" s="22">
        <f>IF(Kostenquotenrechner!$AW9,IF(AND(Kostenquotenrechner!$BF9=FALSE,Kostenquotenrechner!$BG9=TRUE,Kostenquotenrechner!$BH9=FALSE,Kostenquotenrechner!$BI9=TRUE),Kostenquotenrechner!$V9,0),0)</f>
        <v>0</v>
      </c>
      <c r="N19" s="22">
        <f>IF(Kostenquotenrechner!$AW9,IF(AND(Kostenquotenrechner!$BF9=FALSE,Kostenquotenrechner!$BG9=FALSE,Kostenquotenrechner!$BH9=TRUE,Kostenquotenrechner!$BI9=TRUE),Kostenquotenrechner!$V9,0),0)</f>
        <v>0</v>
      </c>
      <c r="O19" s="22">
        <f>IF(Kostenquotenrechner!$AW9,IF(AND(Kostenquotenrechner!$BF9=TRUE,Kostenquotenrechner!$BG9=TRUE,Kostenquotenrechner!$BH9=TRUE,Kostenquotenrechner!$BI9=FALSE),Kostenquotenrechner!$V9,0),0)</f>
        <v>0</v>
      </c>
      <c r="P19" s="22">
        <f>IF(Kostenquotenrechner!$AW9,IF(AND(Kostenquotenrechner!$BF9=TRUE,Kostenquotenrechner!$BG9=TRUE,Kostenquotenrechner!$BH9=FALSE,Kostenquotenrechner!$BI9=TRUE),Kostenquotenrechner!$V9,0),0)</f>
        <v>0</v>
      </c>
      <c r="Q19" s="22">
        <f>IF(Kostenquotenrechner!$AW9,IF(AND(Kostenquotenrechner!$BF9=TRUE,Kostenquotenrechner!$BG9=FALSE,Kostenquotenrechner!$BH9=TRUE,Kostenquotenrechner!$BI9=TRUE),Kostenquotenrechner!$V9,0),0)</f>
        <v>0</v>
      </c>
      <c r="R19" s="22">
        <f>IF(Kostenquotenrechner!$AW9,IF(AND(Kostenquotenrechner!$BF9=FALSE,Kostenquotenrechner!$BG9=TRUE,Kostenquotenrechner!$BH9=TRUE,Kostenquotenrechner!$BI9=TRUE),Kostenquotenrechner!$V9,0),0)</f>
        <v>0</v>
      </c>
      <c r="S19" s="22">
        <f>IF(Kostenquotenrechner!$AW9,IF(AND(Kostenquotenrechner!$BF9=TRUE,Kostenquotenrechner!$BG9=TRUE,Kostenquotenrechner!$BH9=TRUE,Kostenquotenrechner!$BI9=TRUE),Kostenquotenrechner!$V9,0),0)</f>
        <v>0</v>
      </c>
    </row>
    <row r="20" spans="1:24" x14ac:dyDescent="0.2">
      <c r="A20" s="4"/>
      <c r="B20" s="22">
        <f>IF(Kostenquotenrechner!AW10=TRUE,Kostenquotenrechner!C10,0)</f>
        <v>0</v>
      </c>
      <c r="C20" s="22">
        <f>B20*COUNTIF(Kostenquotenrechner!AX10:BA10,TRUE)</f>
        <v>0</v>
      </c>
      <c r="D20" s="3"/>
      <c r="E20" s="22">
        <f>IF(Kostenquotenrechner!$AW10=TRUE,Kostenquotenrechner!N10+IF(AND(Kostenquotenrechner!$BF10=TRUE,Kostenquotenrechner!$BG10=FALSE,Kostenquotenrechner!$BH10=FALSE,Kostenquotenrechner!$BI10=FALSE),Kostenquotenrechner!$V10,0),0)</f>
        <v>0</v>
      </c>
      <c r="F20" s="22">
        <f>IF(Kostenquotenrechner!$AW10,Kostenquotenrechner!O10+IF(AND(Kostenquotenrechner!$BF10=FALSE,Kostenquotenrechner!$BG10=TRUE,Kostenquotenrechner!$BH10=FALSE,Kostenquotenrechner!$BI10=FALSE),Kostenquotenrechner!$V10,0),0)</f>
        <v>0</v>
      </c>
      <c r="G20" s="22">
        <f>IF(Kostenquotenrechner!$AW10,Kostenquotenrechner!P10+IF(AND(Kostenquotenrechner!$BF10=FALSE,Kostenquotenrechner!$BG10=FALSE,Kostenquotenrechner!$BH10=TRUE,Kostenquotenrechner!$BI10=FALSE),Kostenquotenrechner!$V10,0),0)</f>
        <v>0</v>
      </c>
      <c r="H20" s="22">
        <f>IF(Kostenquotenrechner!$AW10,Kostenquotenrechner!Q10+IF(AND(Kostenquotenrechner!$BF10=FALSE,Kostenquotenrechner!$BG10=FALSE,Kostenquotenrechner!$BH10=FALSE,Kostenquotenrechner!$BI10=TRUE),Kostenquotenrechner!$V10,0),0)</f>
        <v>0</v>
      </c>
      <c r="I20" s="22">
        <f>IF(Kostenquotenrechner!$AW10,IF(AND(Kostenquotenrechner!$BF10=TRUE,Kostenquotenrechner!$BG10=TRUE,Kostenquotenrechner!$BH10=FALSE,Kostenquotenrechner!$BI10=FALSE),Kostenquotenrechner!$V10,0),0)</f>
        <v>0</v>
      </c>
      <c r="J20" s="22">
        <f>IF(Kostenquotenrechner!$AW10,IF(AND(Kostenquotenrechner!$BF10=TRUE,Kostenquotenrechner!$BG10=FALSE,Kostenquotenrechner!$BH10=TRUE,Kostenquotenrechner!$BI10=FALSE),Kostenquotenrechner!$V10,0),0)</f>
        <v>0</v>
      </c>
      <c r="K20" s="22">
        <f>IF(Kostenquotenrechner!$AW10,IF(AND(Kostenquotenrechner!$BF10=TRUE,Kostenquotenrechner!$BG10=FALSE,Kostenquotenrechner!$BH10=FALSE,Kostenquotenrechner!$BI10=TRUE),Kostenquotenrechner!$V10,0),0)</f>
        <v>0</v>
      </c>
      <c r="L20" s="22">
        <f>IF(Kostenquotenrechner!$AW10,IF(AND(Kostenquotenrechner!$BF10=FALSE,Kostenquotenrechner!$BG10=TRUE,Kostenquotenrechner!$BH10=TRUE,Kostenquotenrechner!$BI10=FALSE),Kostenquotenrechner!$V10,0),0)</f>
        <v>0</v>
      </c>
      <c r="M20" s="22">
        <f>IF(Kostenquotenrechner!$AW10,IF(AND(Kostenquotenrechner!$BF10=FALSE,Kostenquotenrechner!$BG10=TRUE,Kostenquotenrechner!$BH10=FALSE,Kostenquotenrechner!$BI10=TRUE),Kostenquotenrechner!$V10,0),0)</f>
        <v>0</v>
      </c>
      <c r="N20" s="22">
        <f>IF(Kostenquotenrechner!$AW10,IF(AND(Kostenquotenrechner!$BF10=FALSE,Kostenquotenrechner!$BG10=FALSE,Kostenquotenrechner!$BH10=TRUE,Kostenquotenrechner!$BI10=TRUE),Kostenquotenrechner!$V10,0),0)</f>
        <v>0</v>
      </c>
      <c r="O20" s="22">
        <f>IF(Kostenquotenrechner!$AW10,IF(AND(Kostenquotenrechner!$BF10=TRUE,Kostenquotenrechner!$BG10=TRUE,Kostenquotenrechner!$BH10=TRUE,Kostenquotenrechner!$BI10=FALSE),Kostenquotenrechner!$V10,0),0)</f>
        <v>0</v>
      </c>
      <c r="P20" s="22">
        <f>IF(Kostenquotenrechner!$AW10,IF(AND(Kostenquotenrechner!$BF10=TRUE,Kostenquotenrechner!$BG10=TRUE,Kostenquotenrechner!$BH10=FALSE,Kostenquotenrechner!$BI10=TRUE),Kostenquotenrechner!$V10,0),0)</f>
        <v>0</v>
      </c>
      <c r="Q20" s="22">
        <f>IF(Kostenquotenrechner!$AW10,IF(AND(Kostenquotenrechner!$BF10=TRUE,Kostenquotenrechner!$BG10=FALSE,Kostenquotenrechner!$BH10=TRUE,Kostenquotenrechner!$BI10=TRUE),Kostenquotenrechner!$V10,0),0)</f>
        <v>0</v>
      </c>
      <c r="R20" s="22">
        <f>IF(Kostenquotenrechner!$AW10,IF(AND(Kostenquotenrechner!$BF10=FALSE,Kostenquotenrechner!$BG10=TRUE,Kostenquotenrechner!$BH10=TRUE,Kostenquotenrechner!$BI10=TRUE),Kostenquotenrechner!$V10,0),0)</f>
        <v>0</v>
      </c>
      <c r="S20" s="22">
        <f>IF(Kostenquotenrechner!$AW10,IF(AND(Kostenquotenrechner!$BF10=TRUE,Kostenquotenrechner!$BG10=TRUE,Kostenquotenrechner!$BH10=TRUE,Kostenquotenrechner!$BI10=TRUE),Kostenquotenrechner!$V10,0),0)</f>
        <v>0</v>
      </c>
    </row>
    <row r="21" spans="1:24" x14ac:dyDescent="0.2">
      <c r="A21" s="4"/>
      <c r="B21" s="22">
        <f>IF(Kostenquotenrechner!AW11=TRUE,Kostenquotenrechner!C11,0)</f>
        <v>0</v>
      </c>
      <c r="C21" s="22">
        <f>B21*COUNTIF(Kostenquotenrechner!AX11:BA11,TRUE)</f>
        <v>0</v>
      </c>
      <c r="D21" s="3"/>
      <c r="E21" s="22">
        <f>IF(Kostenquotenrechner!$AW11=TRUE,Kostenquotenrechner!N11+IF(AND(Kostenquotenrechner!$BF11=TRUE,Kostenquotenrechner!$BG11=FALSE,Kostenquotenrechner!$BH11=FALSE,Kostenquotenrechner!$BI11=FALSE),Kostenquotenrechner!$V11,0),0)</f>
        <v>0</v>
      </c>
      <c r="F21" s="22">
        <f>IF(Kostenquotenrechner!$AW11,Kostenquotenrechner!O11+IF(AND(Kostenquotenrechner!$BF11=FALSE,Kostenquotenrechner!$BG11=TRUE,Kostenquotenrechner!$BH11=FALSE,Kostenquotenrechner!$BI11=FALSE),Kostenquotenrechner!$V11,0),0)</f>
        <v>0</v>
      </c>
      <c r="G21" s="22">
        <f>IF(Kostenquotenrechner!$AW11,Kostenquotenrechner!P11+IF(AND(Kostenquotenrechner!$BF11=FALSE,Kostenquotenrechner!$BG11=FALSE,Kostenquotenrechner!$BH11=TRUE,Kostenquotenrechner!$BI11=FALSE),Kostenquotenrechner!$V11,0),0)</f>
        <v>0</v>
      </c>
      <c r="H21" s="22">
        <f>IF(Kostenquotenrechner!$AW11,Kostenquotenrechner!Q11+IF(AND(Kostenquotenrechner!$BF11=FALSE,Kostenquotenrechner!$BG11=FALSE,Kostenquotenrechner!$BH11=FALSE,Kostenquotenrechner!$BI11=TRUE),Kostenquotenrechner!$V11,0),0)</f>
        <v>0</v>
      </c>
      <c r="I21" s="22">
        <f>IF(Kostenquotenrechner!$AW11,IF(AND(Kostenquotenrechner!$BF11=TRUE,Kostenquotenrechner!$BG11=TRUE,Kostenquotenrechner!$BH11=FALSE,Kostenquotenrechner!$BI11=FALSE),Kostenquotenrechner!$V11,0),0)</f>
        <v>0</v>
      </c>
      <c r="J21" s="22">
        <f>IF(Kostenquotenrechner!$AW11,IF(AND(Kostenquotenrechner!$BF11=TRUE,Kostenquotenrechner!$BG11=FALSE,Kostenquotenrechner!$BH11=TRUE,Kostenquotenrechner!$BI11=FALSE),Kostenquotenrechner!$V11,0),0)</f>
        <v>0</v>
      </c>
      <c r="K21" s="22">
        <f>IF(Kostenquotenrechner!$AW11,IF(AND(Kostenquotenrechner!$BF11=TRUE,Kostenquotenrechner!$BG11=FALSE,Kostenquotenrechner!$BH11=FALSE,Kostenquotenrechner!$BI11=TRUE),Kostenquotenrechner!$V11,0),0)</f>
        <v>0</v>
      </c>
      <c r="L21" s="22">
        <f>IF(Kostenquotenrechner!$AW11,IF(AND(Kostenquotenrechner!$BF11=FALSE,Kostenquotenrechner!$BG11=TRUE,Kostenquotenrechner!$BH11=TRUE,Kostenquotenrechner!$BI11=FALSE),Kostenquotenrechner!$V11,0),0)</f>
        <v>0</v>
      </c>
      <c r="M21" s="22">
        <f>IF(Kostenquotenrechner!$AW11,IF(AND(Kostenquotenrechner!$BF11=FALSE,Kostenquotenrechner!$BG11=TRUE,Kostenquotenrechner!$BH11=FALSE,Kostenquotenrechner!$BI11=TRUE),Kostenquotenrechner!$V11,0),0)</f>
        <v>0</v>
      </c>
      <c r="N21" s="22">
        <f>IF(Kostenquotenrechner!$AW11,IF(AND(Kostenquotenrechner!$BF11=FALSE,Kostenquotenrechner!$BG11=FALSE,Kostenquotenrechner!$BH11=TRUE,Kostenquotenrechner!$BI11=TRUE),Kostenquotenrechner!$V11,0),0)</f>
        <v>0</v>
      </c>
      <c r="O21" s="22">
        <f>IF(Kostenquotenrechner!$AW11,IF(AND(Kostenquotenrechner!$BF11=TRUE,Kostenquotenrechner!$BG11=TRUE,Kostenquotenrechner!$BH11=TRUE,Kostenquotenrechner!$BI11=FALSE),Kostenquotenrechner!$V11,0),0)</f>
        <v>0</v>
      </c>
      <c r="P21" s="22">
        <f>IF(Kostenquotenrechner!$AW11,IF(AND(Kostenquotenrechner!$BF11=TRUE,Kostenquotenrechner!$BG11=TRUE,Kostenquotenrechner!$BH11=FALSE,Kostenquotenrechner!$BI11=TRUE),Kostenquotenrechner!$V11,0),0)</f>
        <v>0</v>
      </c>
      <c r="Q21" s="22">
        <f>IF(Kostenquotenrechner!$AW11,IF(AND(Kostenquotenrechner!$BF11=TRUE,Kostenquotenrechner!$BG11=FALSE,Kostenquotenrechner!$BH11=TRUE,Kostenquotenrechner!$BI11=TRUE),Kostenquotenrechner!$V11,0),0)</f>
        <v>0</v>
      </c>
      <c r="R21" s="22">
        <f>IF(Kostenquotenrechner!$AW11,IF(AND(Kostenquotenrechner!$BF11=FALSE,Kostenquotenrechner!$BG11=TRUE,Kostenquotenrechner!$BH11=TRUE,Kostenquotenrechner!$BI11=TRUE),Kostenquotenrechner!$V11,0),0)</f>
        <v>0</v>
      </c>
      <c r="S21" s="22">
        <f>IF(Kostenquotenrechner!$AW11,IF(AND(Kostenquotenrechner!$BF11=TRUE,Kostenquotenrechner!$BG11=TRUE,Kostenquotenrechner!$BH11=TRUE,Kostenquotenrechner!$BI11=TRUE),Kostenquotenrechner!$V11,0),0)</f>
        <v>0</v>
      </c>
    </row>
    <row r="22" spans="1:24" x14ac:dyDescent="0.2">
      <c r="A22" s="4"/>
      <c r="B22" s="22">
        <f>IF(Kostenquotenrechner!AW12=TRUE,Kostenquotenrechner!C12,0)</f>
        <v>0</v>
      </c>
      <c r="C22" s="22">
        <f>B22*COUNTIF(Kostenquotenrechner!AX12:BA12,TRUE)</f>
        <v>0</v>
      </c>
      <c r="D22" s="3"/>
      <c r="E22" s="22">
        <f>IF(Kostenquotenrechner!$AW12=TRUE,Kostenquotenrechner!N12+IF(AND(Kostenquotenrechner!$BF12=TRUE,Kostenquotenrechner!$BG12=FALSE,Kostenquotenrechner!$BH12=FALSE,Kostenquotenrechner!$BI12=FALSE),Kostenquotenrechner!$V12,0),0)</f>
        <v>0</v>
      </c>
      <c r="F22" s="22">
        <f>IF(Kostenquotenrechner!$AW12,Kostenquotenrechner!O12+IF(AND(Kostenquotenrechner!$BF12=FALSE,Kostenquotenrechner!$BG12=TRUE,Kostenquotenrechner!$BH12=FALSE,Kostenquotenrechner!$BI12=FALSE),Kostenquotenrechner!$V12,0),0)</f>
        <v>0</v>
      </c>
      <c r="G22" s="22">
        <f>IF(Kostenquotenrechner!$AW12,Kostenquotenrechner!P12+IF(AND(Kostenquotenrechner!$BF12=FALSE,Kostenquotenrechner!$BG12=FALSE,Kostenquotenrechner!$BH12=TRUE,Kostenquotenrechner!$BI12=FALSE),Kostenquotenrechner!$V12,0),0)</f>
        <v>0</v>
      </c>
      <c r="H22" s="22">
        <f>IF(Kostenquotenrechner!$AW12,Kostenquotenrechner!Q12+IF(AND(Kostenquotenrechner!$BF12=FALSE,Kostenquotenrechner!$BG12=FALSE,Kostenquotenrechner!$BH12=FALSE,Kostenquotenrechner!$BI12=TRUE),Kostenquotenrechner!$V12,0),0)</f>
        <v>0</v>
      </c>
      <c r="I22" s="22">
        <f>IF(Kostenquotenrechner!$AW12,IF(AND(Kostenquotenrechner!$BF12=TRUE,Kostenquotenrechner!$BG12=TRUE,Kostenquotenrechner!$BH12=FALSE,Kostenquotenrechner!$BI12=FALSE),Kostenquotenrechner!$V12,0),0)</f>
        <v>0</v>
      </c>
      <c r="J22" s="22">
        <f>IF(Kostenquotenrechner!$AW12,IF(AND(Kostenquotenrechner!$BF12=TRUE,Kostenquotenrechner!$BG12=FALSE,Kostenquotenrechner!$BH12=TRUE,Kostenquotenrechner!$BI12=FALSE),Kostenquotenrechner!$V12,0),0)</f>
        <v>0</v>
      </c>
      <c r="K22" s="22">
        <f>IF(Kostenquotenrechner!$AW12,IF(AND(Kostenquotenrechner!$BF12=TRUE,Kostenquotenrechner!$BG12=FALSE,Kostenquotenrechner!$BH12=FALSE,Kostenquotenrechner!$BI12=TRUE),Kostenquotenrechner!$V12,0),0)</f>
        <v>0</v>
      </c>
      <c r="L22" s="22">
        <f>IF(Kostenquotenrechner!$AW12,IF(AND(Kostenquotenrechner!$BF12=FALSE,Kostenquotenrechner!$BG12=TRUE,Kostenquotenrechner!$BH12=TRUE,Kostenquotenrechner!$BI12=FALSE),Kostenquotenrechner!$V12,0),0)</f>
        <v>0</v>
      </c>
      <c r="M22" s="22">
        <f>IF(Kostenquotenrechner!$AW12,IF(AND(Kostenquotenrechner!$BF12=FALSE,Kostenquotenrechner!$BG12=TRUE,Kostenquotenrechner!$BH12=FALSE,Kostenquotenrechner!$BI12=TRUE),Kostenquotenrechner!$V12,0),0)</f>
        <v>0</v>
      </c>
      <c r="N22" s="22">
        <f>IF(Kostenquotenrechner!$AW12,IF(AND(Kostenquotenrechner!$BF12=FALSE,Kostenquotenrechner!$BG12=FALSE,Kostenquotenrechner!$BH12=TRUE,Kostenquotenrechner!$BI12=TRUE),Kostenquotenrechner!$V12,0),0)</f>
        <v>0</v>
      </c>
      <c r="O22" s="22">
        <f>IF(Kostenquotenrechner!$AW12,IF(AND(Kostenquotenrechner!$BF12=TRUE,Kostenquotenrechner!$BG12=TRUE,Kostenquotenrechner!$BH12=TRUE,Kostenquotenrechner!$BI12=FALSE),Kostenquotenrechner!$V12,0),0)</f>
        <v>0</v>
      </c>
      <c r="P22" s="22">
        <f>IF(Kostenquotenrechner!$AW12,IF(AND(Kostenquotenrechner!$BF12=TRUE,Kostenquotenrechner!$BG12=TRUE,Kostenquotenrechner!$BH12=FALSE,Kostenquotenrechner!$BI12=TRUE),Kostenquotenrechner!$V12,0),0)</f>
        <v>0</v>
      </c>
      <c r="Q22" s="22">
        <f>IF(Kostenquotenrechner!$AW12,IF(AND(Kostenquotenrechner!$BF12=TRUE,Kostenquotenrechner!$BG12=FALSE,Kostenquotenrechner!$BH12=TRUE,Kostenquotenrechner!$BI12=TRUE),Kostenquotenrechner!$V12,0),0)</f>
        <v>0</v>
      </c>
      <c r="R22" s="22">
        <f>IF(Kostenquotenrechner!$AW12,IF(AND(Kostenquotenrechner!$BF12=FALSE,Kostenquotenrechner!$BG12=TRUE,Kostenquotenrechner!$BH12=TRUE,Kostenquotenrechner!$BI12=TRUE),Kostenquotenrechner!$V12,0),0)</f>
        <v>0</v>
      </c>
      <c r="S22" s="22">
        <f>IF(Kostenquotenrechner!$AW12,IF(AND(Kostenquotenrechner!$BF12=TRUE,Kostenquotenrechner!$BG12=TRUE,Kostenquotenrechner!$BH12=TRUE,Kostenquotenrechner!$BI12=TRUE),Kostenquotenrechner!$V12,0),0)</f>
        <v>0</v>
      </c>
    </row>
    <row r="23" spans="1:24" x14ac:dyDescent="0.2">
      <c r="A23" s="4"/>
      <c r="B23" s="22">
        <f>IF(Kostenquotenrechner!AW13=TRUE,Kostenquotenrechner!C13,0)</f>
        <v>0</v>
      </c>
      <c r="C23" s="22">
        <f>B23*COUNTIF(Kostenquotenrechner!AX13:BA13,TRUE)</f>
        <v>0</v>
      </c>
      <c r="D23" s="3"/>
      <c r="E23" s="22">
        <f>IF(Kostenquotenrechner!$AW13=TRUE,Kostenquotenrechner!N13+IF(AND(Kostenquotenrechner!$BF13=TRUE,Kostenquotenrechner!$BG13=FALSE,Kostenquotenrechner!$BH13=FALSE,Kostenquotenrechner!$BI13=FALSE),Kostenquotenrechner!$V13,0),0)</f>
        <v>0</v>
      </c>
      <c r="F23" s="22">
        <f>IF(Kostenquotenrechner!$AW13,Kostenquotenrechner!O13+IF(AND(Kostenquotenrechner!$BF13=FALSE,Kostenquotenrechner!$BG13=TRUE,Kostenquotenrechner!$BH13=FALSE,Kostenquotenrechner!$BI13=FALSE),Kostenquotenrechner!$V13,0),0)</f>
        <v>0</v>
      </c>
      <c r="G23" s="22">
        <f>IF(Kostenquotenrechner!$AW13,Kostenquotenrechner!P13+IF(AND(Kostenquotenrechner!$BF13=FALSE,Kostenquotenrechner!$BG13=FALSE,Kostenquotenrechner!$BH13=TRUE,Kostenquotenrechner!$BI13=FALSE),Kostenquotenrechner!$V13,0),0)</f>
        <v>0</v>
      </c>
      <c r="H23" s="22">
        <f>IF(Kostenquotenrechner!$AW13,Kostenquotenrechner!Q13+IF(AND(Kostenquotenrechner!$BF13=FALSE,Kostenquotenrechner!$BG13=FALSE,Kostenquotenrechner!$BH13=FALSE,Kostenquotenrechner!$BI13=TRUE),Kostenquotenrechner!$V13,0),0)</f>
        <v>0</v>
      </c>
      <c r="I23" s="22">
        <f>IF(Kostenquotenrechner!$AW13,IF(AND(Kostenquotenrechner!$BF13=TRUE,Kostenquotenrechner!$BG13=TRUE,Kostenquotenrechner!$BH13=FALSE,Kostenquotenrechner!$BI13=FALSE),Kostenquotenrechner!$V13,0),0)</f>
        <v>0</v>
      </c>
      <c r="J23" s="22">
        <f>IF(Kostenquotenrechner!$AW13,IF(AND(Kostenquotenrechner!$BF13=TRUE,Kostenquotenrechner!$BG13=FALSE,Kostenquotenrechner!$BH13=TRUE,Kostenquotenrechner!$BI13=FALSE),Kostenquotenrechner!$V13,0),0)</f>
        <v>0</v>
      </c>
      <c r="K23" s="22">
        <f>IF(Kostenquotenrechner!$AW13,IF(AND(Kostenquotenrechner!$BF13=TRUE,Kostenquotenrechner!$BG13=FALSE,Kostenquotenrechner!$BH13=FALSE,Kostenquotenrechner!$BI13=TRUE),Kostenquotenrechner!$V13,0),0)</f>
        <v>0</v>
      </c>
      <c r="L23" s="22">
        <f>IF(Kostenquotenrechner!$AW13,IF(AND(Kostenquotenrechner!$BF13=FALSE,Kostenquotenrechner!$BG13=TRUE,Kostenquotenrechner!$BH13=TRUE,Kostenquotenrechner!$BI13=FALSE),Kostenquotenrechner!$V13,0),0)</f>
        <v>0</v>
      </c>
      <c r="M23" s="22">
        <f>IF(Kostenquotenrechner!$AW13,IF(AND(Kostenquotenrechner!$BF13=FALSE,Kostenquotenrechner!$BG13=TRUE,Kostenquotenrechner!$BH13=FALSE,Kostenquotenrechner!$BI13=TRUE),Kostenquotenrechner!$V13,0),0)</f>
        <v>0</v>
      </c>
      <c r="N23" s="22">
        <f>IF(Kostenquotenrechner!$AW13,IF(AND(Kostenquotenrechner!$BF13=FALSE,Kostenquotenrechner!$BG13=FALSE,Kostenquotenrechner!$BH13=TRUE,Kostenquotenrechner!$BI13=TRUE),Kostenquotenrechner!$V13,0),0)</f>
        <v>0</v>
      </c>
      <c r="O23" s="22">
        <f>IF(Kostenquotenrechner!$AW13,IF(AND(Kostenquotenrechner!$BF13=TRUE,Kostenquotenrechner!$BG13=TRUE,Kostenquotenrechner!$BH13=TRUE,Kostenquotenrechner!$BI13=FALSE),Kostenquotenrechner!$V13,0),0)</f>
        <v>0</v>
      </c>
      <c r="P23" s="22">
        <f>IF(Kostenquotenrechner!$AW13,IF(AND(Kostenquotenrechner!$BF13=TRUE,Kostenquotenrechner!$BG13=TRUE,Kostenquotenrechner!$BH13=FALSE,Kostenquotenrechner!$BI13=TRUE),Kostenquotenrechner!$V13,0),0)</f>
        <v>0</v>
      </c>
      <c r="Q23" s="22">
        <f>IF(Kostenquotenrechner!$AW13,IF(AND(Kostenquotenrechner!$BF13=TRUE,Kostenquotenrechner!$BG13=FALSE,Kostenquotenrechner!$BH13=TRUE,Kostenquotenrechner!$BI13=TRUE),Kostenquotenrechner!$V13,0),0)</f>
        <v>0</v>
      </c>
      <c r="R23" s="22">
        <f>IF(Kostenquotenrechner!$AW13,IF(AND(Kostenquotenrechner!$BF13=FALSE,Kostenquotenrechner!$BG13=TRUE,Kostenquotenrechner!$BH13=TRUE,Kostenquotenrechner!$BI13=TRUE),Kostenquotenrechner!$V13,0),0)</f>
        <v>0</v>
      </c>
      <c r="S23" s="22">
        <f>IF(Kostenquotenrechner!$AW13,IF(AND(Kostenquotenrechner!$BF13=TRUE,Kostenquotenrechner!$BG13=TRUE,Kostenquotenrechner!$BH13=TRUE,Kostenquotenrechner!$BI13=TRUE),Kostenquotenrechner!$V13,0),0)</f>
        <v>0</v>
      </c>
    </row>
    <row r="24" spans="1:24" x14ac:dyDescent="0.2">
      <c r="A24" s="4"/>
      <c r="B24" s="22">
        <f>IF(Kostenquotenrechner!AW14=TRUE,Kostenquotenrechner!C14,0)</f>
        <v>0</v>
      </c>
      <c r="C24" s="22">
        <f>B24*COUNTIF(Kostenquotenrechner!AX14:BA14,TRUE)</f>
        <v>0</v>
      </c>
      <c r="D24" s="3"/>
      <c r="E24" s="22">
        <f>IF(Kostenquotenrechner!$AW14=TRUE,Kostenquotenrechner!N14+IF(AND(Kostenquotenrechner!$BF14=TRUE,Kostenquotenrechner!$BG14=FALSE,Kostenquotenrechner!$BH14=FALSE,Kostenquotenrechner!$BI14=FALSE),Kostenquotenrechner!$V14,0),0)</f>
        <v>0</v>
      </c>
      <c r="F24" s="22">
        <f>IF(Kostenquotenrechner!$AW14,Kostenquotenrechner!O14+IF(AND(Kostenquotenrechner!$BF14=FALSE,Kostenquotenrechner!$BG14=TRUE,Kostenquotenrechner!$BH14=FALSE,Kostenquotenrechner!$BI14=FALSE),Kostenquotenrechner!$V14,0),0)</f>
        <v>0</v>
      </c>
      <c r="G24" s="22">
        <f>IF(Kostenquotenrechner!$AW14,Kostenquotenrechner!P14+IF(AND(Kostenquotenrechner!$BF14=FALSE,Kostenquotenrechner!$BG14=FALSE,Kostenquotenrechner!$BH14=TRUE,Kostenquotenrechner!$BI14=FALSE),Kostenquotenrechner!$V14,0),0)</f>
        <v>0</v>
      </c>
      <c r="H24" s="22">
        <f>IF(Kostenquotenrechner!$AW14,Kostenquotenrechner!Q14+IF(AND(Kostenquotenrechner!$BF14=FALSE,Kostenquotenrechner!$BG14=FALSE,Kostenquotenrechner!$BH14=FALSE,Kostenquotenrechner!$BI14=TRUE),Kostenquotenrechner!$V14,0),0)</f>
        <v>0</v>
      </c>
      <c r="I24" s="22">
        <f>IF(Kostenquotenrechner!$AW14,IF(AND(Kostenquotenrechner!$BF14=TRUE,Kostenquotenrechner!$BG14=TRUE,Kostenquotenrechner!$BH14=FALSE,Kostenquotenrechner!$BI14=FALSE),Kostenquotenrechner!$V14,0),0)</f>
        <v>0</v>
      </c>
      <c r="J24" s="22">
        <f>IF(Kostenquotenrechner!$AW14,IF(AND(Kostenquotenrechner!$BF14=TRUE,Kostenquotenrechner!$BG14=FALSE,Kostenquotenrechner!$BH14=TRUE,Kostenquotenrechner!$BI14=FALSE),Kostenquotenrechner!$V14,0),0)</f>
        <v>0</v>
      </c>
      <c r="K24" s="22">
        <f>IF(Kostenquotenrechner!$AW14,IF(AND(Kostenquotenrechner!$BF14=TRUE,Kostenquotenrechner!$BG14=FALSE,Kostenquotenrechner!$BH14=FALSE,Kostenquotenrechner!$BI14=TRUE),Kostenquotenrechner!$V14,0),0)</f>
        <v>0</v>
      </c>
      <c r="L24" s="22">
        <f>IF(Kostenquotenrechner!$AW14,IF(AND(Kostenquotenrechner!$BF14=FALSE,Kostenquotenrechner!$BG14=TRUE,Kostenquotenrechner!$BH14=TRUE,Kostenquotenrechner!$BI14=FALSE),Kostenquotenrechner!$V14,0),0)</f>
        <v>0</v>
      </c>
      <c r="M24" s="22">
        <f>IF(Kostenquotenrechner!$AW14,IF(AND(Kostenquotenrechner!$BF14=FALSE,Kostenquotenrechner!$BG14=TRUE,Kostenquotenrechner!$BH14=FALSE,Kostenquotenrechner!$BI14=TRUE),Kostenquotenrechner!$V14,0),0)</f>
        <v>0</v>
      </c>
      <c r="N24" s="22">
        <f>IF(Kostenquotenrechner!$AW14,IF(AND(Kostenquotenrechner!$BF14=FALSE,Kostenquotenrechner!$BG14=FALSE,Kostenquotenrechner!$BH14=TRUE,Kostenquotenrechner!$BI14=TRUE),Kostenquotenrechner!$V14,0),0)</f>
        <v>0</v>
      </c>
      <c r="O24" s="22">
        <f>IF(Kostenquotenrechner!$AW14,IF(AND(Kostenquotenrechner!$BF14=TRUE,Kostenquotenrechner!$BG14=TRUE,Kostenquotenrechner!$BH14=TRUE,Kostenquotenrechner!$BI14=FALSE),Kostenquotenrechner!$V14,0),0)</f>
        <v>0</v>
      </c>
      <c r="P24" s="22">
        <f>IF(Kostenquotenrechner!$AW14,IF(AND(Kostenquotenrechner!$BF14=TRUE,Kostenquotenrechner!$BG14=TRUE,Kostenquotenrechner!$BH14=FALSE,Kostenquotenrechner!$BI14=TRUE),Kostenquotenrechner!$V14,0),0)</f>
        <v>0</v>
      </c>
      <c r="Q24" s="22">
        <f>IF(Kostenquotenrechner!$AW14,IF(AND(Kostenquotenrechner!$BF14=TRUE,Kostenquotenrechner!$BG14=FALSE,Kostenquotenrechner!$BH14=TRUE,Kostenquotenrechner!$BI14=TRUE),Kostenquotenrechner!$V14,0),0)</f>
        <v>0</v>
      </c>
      <c r="R24" s="22">
        <f>IF(Kostenquotenrechner!$AW14,IF(AND(Kostenquotenrechner!$BF14=FALSE,Kostenquotenrechner!$BG14=TRUE,Kostenquotenrechner!$BH14=TRUE,Kostenquotenrechner!$BI14=TRUE),Kostenquotenrechner!$V14,0),0)</f>
        <v>0</v>
      </c>
      <c r="S24" s="22">
        <f>IF(Kostenquotenrechner!$AW14,IF(AND(Kostenquotenrechner!$BF14=TRUE,Kostenquotenrechner!$BG14=TRUE,Kostenquotenrechner!$BH14=TRUE,Kostenquotenrechner!$BI14=TRUE),Kostenquotenrechner!$V14,0),0)</f>
        <v>0</v>
      </c>
    </row>
    <row r="25" spans="1:24" x14ac:dyDescent="0.2">
      <c r="A25" s="4"/>
      <c r="B25" s="22">
        <f>IF(Kostenquotenrechner!AW15=TRUE,Kostenquotenrechner!C15,0)</f>
        <v>0</v>
      </c>
      <c r="C25" s="22">
        <f>B25*COUNTIF(Kostenquotenrechner!AX15:BA15,TRUE)</f>
        <v>0</v>
      </c>
      <c r="D25" s="3"/>
      <c r="E25" s="22">
        <f>IF(Kostenquotenrechner!$AW15=TRUE,Kostenquotenrechner!N15+IF(AND(Kostenquotenrechner!$BF15=TRUE,Kostenquotenrechner!$BG15=FALSE,Kostenquotenrechner!$BH15=FALSE,Kostenquotenrechner!$BI15=FALSE),Kostenquotenrechner!$V15,0),0)</f>
        <v>0</v>
      </c>
      <c r="F25" s="22">
        <f>IF(Kostenquotenrechner!$AW15,Kostenquotenrechner!O15+IF(AND(Kostenquotenrechner!$BF15=FALSE,Kostenquotenrechner!$BG15=TRUE,Kostenquotenrechner!$BH15=FALSE,Kostenquotenrechner!$BI15=FALSE),Kostenquotenrechner!$V15,0),0)</f>
        <v>0</v>
      </c>
      <c r="G25" s="22">
        <f>IF(Kostenquotenrechner!$AW15,Kostenquotenrechner!P15+IF(AND(Kostenquotenrechner!$BF15=FALSE,Kostenquotenrechner!$BG15=FALSE,Kostenquotenrechner!$BH15=TRUE,Kostenquotenrechner!$BI15=FALSE),Kostenquotenrechner!$V15,0),0)</f>
        <v>0</v>
      </c>
      <c r="H25" s="22">
        <f>IF(Kostenquotenrechner!$AW15,Kostenquotenrechner!Q15+IF(AND(Kostenquotenrechner!$BF15=FALSE,Kostenquotenrechner!$BG15=FALSE,Kostenquotenrechner!$BH15=FALSE,Kostenquotenrechner!$BI15=TRUE),Kostenquotenrechner!$V15,0),0)</f>
        <v>0</v>
      </c>
      <c r="I25" s="22">
        <f>IF(Kostenquotenrechner!$AW15,IF(AND(Kostenquotenrechner!$BF15=TRUE,Kostenquotenrechner!$BG15=TRUE,Kostenquotenrechner!$BH15=FALSE,Kostenquotenrechner!$BI15=FALSE),Kostenquotenrechner!$V15,0),0)</f>
        <v>0</v>
      </c>
      <c r="J25" s="22">
        <f>IF(Kostenquotenrechner!$AW15,IF(AND(Kostenquotenrechner!$BF15=TRUE,Kostenquotenrechner!$BG15=FALSE,Kostenquotenrechner!$BH15=TRUE,Kostenquotenrechner!$BI15=FALSE),Kostenquotenrechner!$V15,0),0)</f>
        <v>0</v>
      </c>
      <c r="K25" s="22">
        <f>IF(Kostenquotenrechner!$AW15,IF(AND(Kostenquotenrechner!$BF15=TRUE,Kostenquotenrechner!$BG15=FALSE,Kostenquotenrechner!$BH15=FALSE,Kostenquotenrechner!$BI15=TRUE),Kostenquotenrechner!$V15,0),0)</f>
        <v>0</v>
      </c>
      <c r="L25" s="22">
        <f>IF(Kostenquotenrechner!$AW15,IF(AND(Kostenquotenrechner!$BF15=FALSE,Kostenquotenrechner!$BG15=TRUE,Kostenquotenrechner!$BH15=TRUE,Kostenquotenrechner!$BI15=FALSE),Kostenquotenrechner!$V15,0),0)</f>
        <v>0</v>
      </c>
      <c r="M25" s="22">
        <f>IF(Kostenquotenrechner!$AW15,IF(AND(Kostenquotenrechner!$BF15=FALSE,Kostenquotenrechner!$BG15=TRUE,Kostenquotenrechner!$BH15=FALSE,Kostenquotenrechner!$BI15=TRUE),Kostenquotenrechner!$V15,0),0)</f>
        <v>0</v>
      </c>
      <c r="N25" s="22">
        <f>IF(Kostenquotenrechner!$AW15,IF(AND(Kostenquotenrechner!$BF15=FALSE,Kostenquotenrechner!$BG15=FALSE,Kostenquotenrechner!$BH15=TRUE,Kostenquotenrechner!$BI15=TRUE),Kostenquotenrechner!$V15,0),0)</f>
        <v>0</v>
      </c>
      <c r="O25" s="22">
        <f>IF(Kostenquotenrechner!$AW15,IF(AND(Kostenquotenrechner!$BF15=TRUE,Kostenquotenrechner!$BG15=TRUE,Kostenquotenrechner!$BH15=TRUE,Kostenquotenrechner!$BI15=FALSE),Kostenquotenrechner!$V15,0),0)</f>
        <v>0</v>
      </c>
      <c r="P25" s="22">
        <f>IF(Kostenquotenrechner!$AW15,IF(AND(Kostenquotenrechner!$BF15=TRUE,Kostenquotenrechner!$BG15=TRUE,Kostenquotenrechner!$BH15=FALSE,Kostenquotenrechner!$BI15=TRUE),Kostenquotenrechner!$V15,0),0)</f>
        <v>0</v>
      </c>
      <c r="Q25" s="22">
        <f>IF(Kostenquotenrechner!$AW15,IF(AND(Kostenquotenrechner!$BF15=TRUE,Kostenquotenrechner!$BG15=FALSE,Kostenquotenrechner!$BH15=TRUE,Kostenquotenrechner!$BI15=TRUE),Kostenquotenrechner!$V15,0),0)</f>
        <v>0</v>
      </c>
      <c r="R25" s="22">
        <f>IF(Kostenquotenrechner!$AW15,IF(AND(Kostenquotenrechner!$BF15=FALSE,Kostenquotenrechner!$BG15=TRUE,Kostenquotenrechner!$BH15=TRUE,Kostenquotenrechner!$BI15=TRUE),Kostenquotenrechner!$V15,0),0)</f>
        <v>0</v>
      </c>
      <c r="S25" s="22">
        <f>IF(Kostenquotenrechner!$AW15,IF(AND(Kostenquotenrechner!$BF15=TRUE,Kostenquotenrechner!$BG15=TRUE,Kostenquotenrechner!$BH15=TRUE,Kostenquotenrechner!$BI15=TRUE),Kostenquotenrechner!$V15,0),0)</f>
        <v>0</v>
      </c>
    </row>
    <row r="26" spans="1:24" x14ac:dyDescent="0.2">
      <c r="A26" s="4" t="s">
        <v>594</v>
      </c>
      <c r="B26" s="3"/>
      <c r="C26" s="3"/>
      <c r="D26" s="3"/>
      <c r="E26" s="3" t="s">
        <v>595</v>
      </c>
      <c r="F26" s="3"/>
      <c r="G26" s="3"/>
      <c r="H26" s="22"/>
      <c r="I26" s="22"/>
      <c r="J26" s="22"/>
      <c r="K26" s="28"/>
      <c r="L26" s="28"/>
      <c r="M26" s="28"/>
      <c r="N26" s="28"/>
      <c r="O26" s="28"/>
      <c r="P26" s="28"/>
      <c r="Q26" s="28"/>
      <c r="R26" s="28"/>
      <c r="S26" s="28"/>
      <c r="T26" s="4"/>
      <c r="U26" s="4"/>
      <c r="V26" s="4"/>
      <c r="W26" s="4"/>
      <c r="X26" s="4"/>
    </row>
    <row r="27" spans="1:24" x14ac:dyDescent="0.2">
      <c r="A27" s="4" t="s">
        <v>438</v>
      </c>
      <c r="B27" s="3" t="s">
        <v>589</v>
      </c>
      <c r="C27" s="3" t="s">
        <v>440</v>
      </c>
      <c r="D27" s="3"/>
      <c r="E27" s="3" t="s">
        <v>609</v>
      </c>
      <c r="F27" s="2" t="s">
        <v>610</v>
      </c>
      <c r="G27" s="3" t="s">
        <v>4</v>
      </c>
      <c r="H27" s="2" t="s">
        <v>8</v>
      </c>
      <c r="I27" s="2" t="s">
        <v>15</v>
      </c>
      <c r="J27" s="3" t="s">
        <v>14</v>
      </c>
      <c r="K27" s="28" t="s">
        <v>16</v>
      </c>
      <c r="L27" s="28" t="s">
        <v>17</v>
      </c>
      <c r="M27" s="28" t="s">
        <v>18</v>
      </c>
      <c r="N27" s="28" t="s">
        <v>23</v>
      </c>
      <c r="O27" s="28" t="s">
        <v>19</v>
      </c>
      <c r="P27" s="28" t="s">
        <v>20</v>
      </c>
      <c r="Q27" s="28" t="s">
        <v>21</v>
      </c>
      <c r="R27" s="28" t="s">
        <v>22</v>
      </c>
      <c r="S27" s="28" t="s">
        <v>24</v>
      </c>
      <c r="T27" s="4"/>
      <c r="U27" s="4"/>
      <c r="V27" s="4"/>
      <c r="W27" s="4"/>
      <c r="X27" s="4"/>
    </row>
    <row r="28" spans="1:24" x14ac:dyDescent="0.2">
      <c r="A28" s="4"/>
      <c r="B28" s="22">
        <f>IF(Kostenquotenrechner!AX18=TRUE,Kostenquotenrechner!C18,0)</f>
        <v>0</v>
      </c>
      <c r="C28" s="22">
        <f>B28*COUNTIF(Kostenquotenrechner!BB18:BE18,TRUE)</f>
        <v>0</v>
      </c>
      <c r="D28" s="3"/>
      <c r="E28" s="22">
        <f>IF(Kostenquotenrechner!$AX18=TRUE,Kostenquotenrechner!N18+IF(AND(Kostenquotenrechner!$BF18=TRUE,Kostenquotenrechner!$BG18=FALSE,Kostenquotenrechner!$BH18=FALSE,Kostenquotenrechner!$BI18=FALSE),Kostenquotenrechner!$V18,0),0)</f>
        <v>0</v>
      </c>
      <c r="F28" s="22">
        <f>IF(Kostenquotenrechner!$AX18,Kostenquotenrechner!O18+IF(AND(Kostenquotenrechner!$BF18=FALSE,Kostenquotenrechner!$BG18=TRUE,Kostenquotenrechner!$BH18=FALSE,Kostenquotenrechner!$BI18=FALSE),Kostenquotenrechner!$V18,0),0)</f>
        <v>0</v>
      </c>
      <c r="G28" s="22">
        <f>IF(Kostenquotenrechner!$AX18,Kostenquotenrechner!P18+IF(AND(Kostenquotenrechner!$BF18=FALSE,Kostenquotenrechner!$BG18=FALSE,Kostenquotenrechner!$BH18=TRUE,Kostenquotenrechner!$BI18=FALSE),Kostenquotenrechner!$V18,0),0)</f>
        <v>0</v>
      </c>
      <c r="H28" s="22">
        <f>IF(Kostenquotenrechner!$AX18,Kostenquotenrechner!Q18+IF(AND(Kostenquotenrechner!$BF18=FALSE,Kostenquotenrechner!$BG18=FALSE,Kostenquotenrechner!$BH18=FALSE,Kostenquotenrechner!$BI18=TRUE),Kostenquotenrechner!$V18,0),0)</f>
        <v>0</v>
      </c>
      <c r="I28" s="22">
        <f>IF(Kostenquotenrechner!$AX18,IF(AND(Kostenquotenrechner!$BF18=TRUE,Kostenquotenrechner!$BG18=TRUE,Kostenquotenrechner!$BH18=FALSE,Kostenquotenrechner!$BI18=FALSE),Kostenquotenrechner!$V18,0),0)</f>
        <v>0</v>
      </c>
      <c r="J28" s="22">
        <f>IF(Kostenquotenrechner!$AX18,IF(AND(Kostenquotenrechner!$BF18=TRUE,Kostenquotenrechner!$BG18=FALSE,Kostenquotenrechner!$BH18=TRUE,Kostenquotenrechner!$BI18=FALSE),Kostenquotenrechner!$V18,0),0)</f>
        <v>0</v>
      </c>
      <c r="K28" s="22">
        <f>IF(Kostenquotenrechner!$AX18,IF(AND(Kostenquotenrechner!$BF18=TRUE,Kostenquotenrechner!$BG18=FALSE,Kostenquotenrechner!$BH18=FALSE,Kostenquotenrechner!$BI18=TRUE),Kostenquotenrechner!$V18,0),0)</f>
        <v>0</v>
      </c>
      <c r="L28" s="22">
        <f>IF(Kostenquotenrechner!$AX18,IF(AND(Kostenquotenrechner!$BF18=FALSE,Kostenquotenrechner!$BG18=TRUE,Kostenquotenrechner!$BH18=TRUE,Kostenquotenrechner!$BI18=FALSE),Kostenquotenrechner!$V18,0),0)</f>
        <v>0</v>
      </c>
      <c r="M28" s="22">
        <f>IF(Kostenquotenrechner!$AX18,IF(AND(Kostenquotenrechner!$BF18=FALSE,Kostenquotenrechner!$BG18=TRUE,Kostenquotenrechner!$BH18=FALSE,Kostenquotenrechner!$BI18=TRUE),Kostenquotenrechner!$V18,0),0)</f>
        <v>0</v>
      </c>
      <c r="N28" s="22">
        <f>IF(Kostenquotenrechner!$AX18,IF(AND(Kostenquotenrechner!$BF18=FALSE,Kostenquotenrechner!$BG18=FALSE,Kostenquotenrechner!$BH18=TRUE,Kostenquotenrechner!$BI18=TRUE),Kostenquotenrechner!$V18,0),0)</f>
        <v>0</v>
      </c>
      <c r="O28" s="22">
        <f>IF(Kostenquotenrechner!$AX18,IF(AND(Kostenquotenrechner!$BF18=TRUE,Kostenquotenrechner!$BG18=TRUE,Kostenquotenrechner!$BH18=TRUE,Kostenquotenrechner!$BI18=FALSE),Kostenquotenrechner!$V18,0),0)</f>
        <v>0</v>
      </c>
      <c r="P28" s="22">
        <f>IF(Kostenquotenrechner!$AX18,IF(AND(Kostenquotenrechner!$BF18=TRUE,Kostenquotenrechner!$BG18=TRUE,Kostenquotenrechner!$BH18=FALSE,Kostenquotenrechner!$BI18=TRUE),Kostenquotenrechner!$V18,0),0)</f>
        <v>0</v>
      </c>
      <c r="Q28" s="22">
        <f>IF(Kostenquotenrechner!$AX18,IF(AND(Kostenquotenrechner!$BF18=TRUE,Kostenquotenrechner!$BG18=FALSE,Kostenquotenrechner!$BH18=TRUE,Kostenquotenrechner!$BI18=TRUE),Kostenquotenrechner!$V18,0),0)</f>
        <v>0</v>
      </c>
      <c r="R28" s="22">
        <f>IF(Kostenquotenrechner!$AX18,IF(AND(Kostenquotenrechner!$BF18=FALSE,Kostenquotenrechner!$BG18=TRUE,Kostenquotenrechner!$BH18=TRUE,Kostenquotenrechner!$BI18=TRUE),Kostenquotenrechner!$V18,0),0)</f>
        <v>0</v>
      </c>
      <c r="S28" s="22">
        <f>IF(Kostenquotenrechner!$AX18,IF(AND(Kostenquotenrechner!$BF18=TRUE,Kostenquotenrechner!$BG18=TRUE,Kostenquotenrechner!$BH18=TRUE,Kostenquotenrechner!$BI18=TRUE),Kostenquotenrechner!$V18,0),0)</f>
        <v>0</v>
      </c>
      <c r="T28" s="4"/>
      <c r="U28" s="4"/>
      <c r="V28" s="4"/>
      <c r="W28" s="4"/>
      <c r="X28" s="4"/>
    </row>
    <row r="29" spans="1:24" x14ac:dyDescent="0.2">
      <c r="A29" s="4"/>
      <c r="B29" s="22">
        <f>IF(Kostenquotenrechner!AX19=TRUE,Kostenquotenrechner!C19,0)</f>
        <v>0</v>
      </c>
      <c r="C29" s="22">
        <f>B29*COUNTIF(Kostenquotenrechner!BB19:BE19,TRUE)</f>
        <v>0</v>
      </c>
      <c r="D29" s="3"/>
      <c r="E29" s="22">
        <f>IF(Kostenquotenrechner!$AX19=TRUE,Kostenquotenrechner!N19+IF(AND(Kostenquotenrechner!$BF19=TRUE,Kostenquotenrechner!$BG19=FALSE,Kostenquotenrechner!$BH19=FALSE,Kostenquotenrechner!$BI19=FALSE),Kostenquotenrechner!$V19,0),0)</f>
        <v>0</v>
      </c>
      <c r="F29" s="22">
        <f>IF(Kostenquotenrechner!$AX19,Kostenquotenrechner!O19+IF(AND(Kostenquotenrechner!$BF19=FALSE,Kostenquotenrechner!$BG19=TRUE,Kostenquotenrechner!$BH19=FALSE,Kostenquotenrechner!$BI19=FALSE),Kostenquotenrechner!$V19,0),0)</f>
        <v>0</v>
      </c>
      <c r="G29" s="22">
        <f>IF(Kostenquotenrechner!$AX19,Kostenquotenrechner!P19+IF(AND(Kostenquotenrechner!$BF19=FALSE,Kostenquotenrechner!$BG19=FALSE,Kostenquotenrechner!$BH19=TRUE,Kostenquotenrechner!$BI19=FALSE),Kostenquotenrechner!$V19,0),0)</f>
        <v>0</v>
      </c>
      <c r="H29" s="22">
        <f>IF(Kostenquotenrechner!$AX19,Kostenquotenrechner!Q19+IF(AND(Kostenquotenrechner!$BF19=FALSE,Kostenquotenrechner!$BG19=FALSE,Kostenquotenrechner!$BH19=FALSE,Kostenquotenrechner!$BI19=TRUE),Kostenquotenrechner!$V19,0),0)</f>
        <v>0</v>
      </c>
      <c r="I29" s="22">
        <f>IF(Kostenquotenrechner!$AX19,IF(AND(Kostenquotenrechner!$BF19=TRUE,Kostenquotenrechner!$BG19=TRUE,Kostenquotenrechner!$BH19=FALSE,Kostenquotenrechner!$BI19=FALSE),Kostenquotenrechner!$V19,0),0)</f>
        <v>0</v>
      </c>
      <c r="J29" s="22">
        <f>IF(Kostenquotenrechner!$AX19,IF(AND(Kostenquotenrechner!$BF19=TRUE,Kostenquotenrechner!$BG19=FALSE,Kostenquotenrechner!$BH19=TRUE,Kostenquotenrechner!$BI19=FALSE),Kostenquotenrechner!$V19,0),0)</f>
        <v>0</v>
      </c>
      <c r="K29" s="22">
        <f>IF(Kostenquotenrechner!$AX19,IF(AND(Kostenquotenrechner!$BF19=TRUE,Kostenquotenrechner!$BG19=FALSE,Kostenquotenrechner!$BH19=FALSE,Kostenquotenrechner!$BI19=TRUE),Kostenquotenrechner!$V19,0),0)</f>
        <v>0</v>
      </c>
      <c r="L29" s="22">
        <f>IF(Kostenquotenrechner!$AX19,IF(AND(Kostenquotenrechner!$BF19=FALSE,Kostenquotenrechner!$BG19=TRUE,Kostenquotenrechner!$BH19=TRUE,Kostenquotenrechner!$BI19=FALSE),Kostenquotenrechner!$V19,0),0)</f>
        <v>0</v>
      </c>
      <c r="M29" s="22">
        <f>IF(Kostenquotenrechner!$AX19,IF(AND(Kostenquotenrechner!$BF19=FALSE,Kostenquotenrechner!$BG19=TRUE,Kostenquotenrechner!$BH19=FALSE,Kostenquotenrechner!$BI19=TRUE),Kostenquotenrechner!$V19,0),0)</f>
        <v>0</v>
      </c>
      <c r="N29" s="22">
        <f>IF(Kostenquotenrechner!$AX19,IF(AND(Kostenquotenrechner!$BF19=FALSE,Kostenquotenrechner!$BG19=FALSE,Kostenquotenrechner!$BH19=TRUE,Kostenquotenrechner!$BI19=TRUE),Kostenquotenrechner!$V19,0),0)</f>
        <v>0</v>
      </c>
      <c r="O29" s="22">
        <f>IF(Kostenquotenrechner!$AX19,IF(AND(Kostenquotenrechner!$BF19=TRUE,Kostenquotenrechner!$BG19=TRUE,Kostenquotenrechner!$BH19=TRUE,Kostenquotenrechner!$BI19=FALSE),Kostenquotenrechner!$V19,0),0)</f>
        <v>0</v>
      </c>
      <c r="P29" s="22">
        <f>IF(Kostenquotenrechner!$AX19,IF(AND(Kostenquotenrechner!$BF19=TRUE,Kostenquotenrechner!$BG19=TRUE,Kostenquotenrechner!$BH19=FALSE,Kostenquotenrechner!$BI19=TRUE),Kostenquotenrechner!$V19,0),0)</f>
        <v>0</v>
      </c>
      <c r="Q29" s="22">
        <f>IF(Kostenquotenrechner!$AX19,IF(AND(Kostenquotenrechner!$BF19=TRUE,Kostenquotenrechner!$BG19=FALSE,Kostenquotenrechner!$BH19=TRUE,Kostenquotenrechner!$BI19=TRUE),Kostenquotenrechner!$V19,0),0)</f>
        <v>0</v>
      </c>
      <c r="R29" s="22">
        <f>IF(Kostenquotenrechner!$AX19,IF(AND(Kostenquotenrechner!$BF19=FALSE,Kostenquotenrechner!$BG19=TRUE,Kostenquotenrechner!$BH19=TRUE,Kostenquotenrechner!$BI19=TRUE),Kostenquotenrechner!$V19,0),0)</f>
        <v>0</v>
      </c>
      <c r="S29" s="22">
        <f>IF(Kostenquotenrechner!$AX19,IF(AND(Kostenquotenrechner!$BF19=TRUE,Kostenquotenrechner!$BG19=TRUE,Kostenquotenrechner!$BH19=TRUE,Kostenquotenrechner!$BI19=TRUE),Kostenquotenrechner!$V19,0),0)</f>
        <v>0</v>
      </c>
      <c r="T29" s="4"/>
      <c r="U29" s="4"/>
      <c r="V29" s="4"/>
      <c r="W29" s="4"/>
      <c r="X29" s="4"/>
    </row>
    <row r="30" spans="1:24" x14ac:dyDescent="0.2">
      <c r="A30" s="4"/>
      <c r="B30" s="22">
        <f>IF(Kostenquotenrechner!AX20=TRUE,Kostenquotenrechner!C20,0)</f>
        <v>0</v>
      </c>
      <c r="C30" s="22">
        <f>B30*COUNTIF(Kostenquotenrechner!BB20:BE20,TRUE)</f>
        <v>0</v>
      </c>
      <c r="D30" s="3"/>
      <c r="E30" s="22">
        <f>IF(Kostenquotenrechner!$AX20=TRUE,Kostenquotenrechner!N20+IF(AND(Kostenquotenrechner!$BF20=TRUE,Kostenquotenrechner!$BG20=FALSE,Kostenquotenrechner!$BH20=FALSE,Kostenquotenrechner!$BI20=FALSE),Kostenquotenrechner!$V20,0),0)</f>
        <v>0</v>
      </c>
      <c r="F30" s="22">
        <f>IF(Kostenquotenrechner!$AX20,Kostenquotenrechner!O20+IF(AND(Kostenquotenrechner!$BF20=FALSE,Kostenquotenrechner!$BG20=TRUE,Kostenquotenrechner!$BH20=FALSE,Kostenquotenrechner!$BI20=FALSE),Kostenquotenrechner!$V20,0),0)</f>
        <v>0</v>
      </c>
      <c r="G30" s="22">
        <f>IF(Kostenquotenrechner!$AX20,Kostenquotenrechner!P20+IF(AND(Kostenquotenrechner!$BF20=FALSE,Kostenquotenrechner!$BG20=FALSE,Kostenquotenrechner!$BH20=TRUE,Kostenquotenrechner!$BI20=FALSE),Kostenquotenrechner!$V20,0),0)</f>
        <v>0</v>
      </c>
      <c r="H30" s="22">
        <f>IF(Kostenquotenrechner!$AX20,Kostenquotenrechner!Q20+IF(AND(Kostenquotenrechner!$BF20=FALSE,Kostenquotenrechner!$BG20=FALSE,Kostenquotenrechner!$BH20=FALSE,Kostenquotenrechner!$BI20=TRUE),Kostenquotenrechner!$V20,0),0)</f>
        <v>0</v>
      </c>
      <c r="I30" s="22">
        <f>IF(Kostenquotenrechner!$AX20,IF(AND(Kostenquotenrechner!$BF20=TRUE,Kostenquotenrechner!$BG20=TRUE,Kostenquotenrechner!$BH20=FALSE,Kostenquotenrechner!$BI20=FALSE),Kostenquotenrechner!$V20,0),0)</f>
        <v>0</v>
      </c>
      <c r="J30" s="22">
        <f>IF(Kostenquotenrechner!$AX20,IF(AND(Kostenquotenrechner!$BF20=TRUE,Kostenquotenrechner!$BG20=FALSE,Kostenquotenrechner!$BH20=TRUE,Kostenquotenrechner!$BI20=FALSE),Kostenquotenrechner!$V20,0),0)</f>
        <v>0</v>
      </c>
      <c r="K30" s="22">
        <f>IF(Kostenquotenrechner!$AX20,IF(AND(Kostenquotenrechner!$BF20=TRUE,Kostenquotenrechner!$BG20=FALSE,Kostenquotenrechner!$BH20=FALSE,Kostenquotenrechner!$BI20=TRUE),Kostenquotenrechner!$V20,0),0)</f>
        <v>0</v>
      </c>
      <c r="L30" s="22">
        <f>IF(Kostenquotenrechner!$AX20,IF(AND(Kostenquotenrechner!$BF20=FALSE,Kostenquotenrechner!$BG20=TRUE,Kostenquotenrechner!$BH20=TRUE,Kostenquotenrechner!$BI20=FALSE),Kostenquotenrechner!$V20,0),0)</f>
        <v>0</v>
      </c>
      <c r="M30" s="22">
        <f>IF(Kostenquotenrechner!$AX20,IF(AND(Kostenquotenrechner!$BF20=FALSE,Kostenquotenrechner!$BG20=TRUE,Kostenquotenrechner!$BH20=FALSE,Kostenquotenrechner!$BI20=TRUE),Kostenquotenrechner!$V20,0),0)</f>
        <v>0</v>
      </c>
      <c r="N30" s="22">
        <f>IF(Kostenquotenrechner!$AX20,IF(AND(Kostenquotenrechner!$BF20=FALSE,Kostenquotenrechner!$BG20=FALSE,Kostenquotenrechner!$BH20=TRUE,Kostenquotenrechner!$BI20=TRUE),Kostenquotenrechner!$V20,0),0)</f>
        <v>0</v>
      </c>
      <c r="O30" s="22">
        <f>IF(Kostenquotenrechner!$AX20,IF(AND(Kostenquotenrechner!$BF20=TRUE,Kostenquotenrechner!$BG20=TRUE,Kostenquotenrechner!$BH20=TRUE,Kostenquotenrechner!$BI20=FALSE),Kostenquotenrechner!$V20,0),0)</f>
        <v>0</v>
      </c>
      <c r="P30" s="22">
        <f>IF(Kostenquotenrechner!$AX20,IF(AND(Kostenquotenrechner!$BF20=TRUE,Kostenquotenrechner!$BG20=TRUE,Kostenquotenrechner!$BH20=FALSE,Kostenquotenrechner!$BI20=TRUE),Kostenquotenrechner!$V20,0),0)</f>
        <v>0</v>
      </c>
      <c r="Q30" s="22">
        <f>IF(Kostenquotenrechner!$AX20,IF(AND(Kostenquotenrechner!$BF20=TRUE,Kostenquotenrechner!$BG20=FALSE,Kostenquotenrechner!$BH20=TRUE,Kostenquotenrechner!$BI20=TRUE),Kostenquotenrechner!$V20,0),0)</f>
        <v>0</v>
      </c>
      <c r="R30" s="22">
        <f>IF(Kostenquotenrechner!$AX20,IF(AND(Kostenquotenrechner!$BF20=FALSE,Kostenquotenrechner!$BG20=TRUE,Kostenquotenrechner!$BH20=TRUE,Kostenquotenrechner!$BI20=TRUE),Kostenquotenrechner!$V20,0),0)</f>
        <v>0</v>
      </c>
      <c r="S30" s="22">
        <f>IF(Kostenquotenrechner!$AX20,IF(AND(Kostenquotenrechner!$BF20=TRUE,Kostenquotenrechner!$BG20=TRUE,Kostenquotenrechner!$BH20=TRUE,Kostenquotenrechner!$BI20=TRUE),Kostenquotenrechner!$V20,0),0)</f>
        <v>0</v>
      </c>
      <c r="T30" s="4"/>
      <c r="U30" s="4"/>
      <c r="V30" s="4"/>
      <c r="W30" s="4"/>
      <c r="X30" s="4"/>
    </row>
    <row r="31" spans="1:24" x14ac:dyDescent="0.2">
      <c r="A31" s="4" t="s">
        <v>596</v>
      </c>
      <c r="B31" s="3"/>
      <c r="C31" s="3"/>
      <c r="D31" s="3"/>
      <c r="E31" s="3" t="s">
        <v>598</v>
      </c>
      <c r="F31" s="3"/>
      <c r="G31" s="3"/>
      <c r="H31" s="22"/>
      <c r="I31" s="22"/>
      <c r="J31" s="22"/>
      <c r="K31" s="28"/>
      <c r="L31" s="28"/>
      <c r="M31" s="28"/>
      <c r="N31" s="28"/>
      <c r="O31" s="28"/>
      <c r="P31" s="28"/>
      <c r="Q31" s="28"/>
      <c r="R31" s="28"/>
      <c r="S31" s="28"/>
      <c r="T31" s="4"/>
      <c r="U31" s="4"/>
      <c r="V31" s="4"/>
      <c r="W31" s="4"/>
      <c r="X31" s="4"/>
    </row>
    <row r="32" spans="1:24" x14ac:dyDescent="0.2">
      <c r="A32" s="4" t="s">
        <v>438</v>
      </c>
      <c r="B32" s="3" t="s">
        <v>589</v>
      </c>
      <c r="C32" s="3" t="s">
        <v>440</v>
      </c>
      <c r="D32" s="3"/>
      <c r="E32" s="3" t="s">
        <v>609</v>
      </c>
      <c r="F32" s="2" t="s">
        <v>610</v>
      </c>
      <c r="G32" s="3" t="s">
        <v>4</v>
      </c>
      <c r="H32" s="2" t="s">
        <v>8</v>
      </c>
      <c r="I32" s="2" t="s">
        <v>15</v>
      </c>
      <c r="J32" s="3" t="s">
        <v>14</v>
      </c>
      <c r="K32" s="28" t="s">
        <v>16</v>
      </c>
      <c r="L32" s="28" t="s">
        <v>17</v>
      </c>
      <c r="M32" s="28" t="s">
        <v>18</v>
      </c>
      <c r="N32" s="28" t="s">
        <v>23</v>
      </c>
      <c r="O32" s="28" t="s">
        <v>19</v>
      </c>
      <c r="P32" s="28" t="s">
        <v>20</v>
      </c>
      <c r="Q32" s="28" t="s">
        <v>21</v>
      </c>
      <c r="R32" s="28" t="s">
        <v>22</v>
      </c>
      <c r="S32" s="28" t="s">
        <v>24</v>
      </c>
      <c r="T32" s="4"/>
      <c r="U32" s="4"/>
      <c r="V32" s="4"/>
      <c r="W32" s="4"/>
      <c r="X32" s="4"/>
    </row>
    <row r="33" spans="1:24" x14ac:dyDescent="0.2">
      <c r="A33" s="4"/>
      <c r="B33" s="22">
        <f>IF(Kostenquotenrechner!AY18=TRUE,Kostenquotenrechner!C18,0)</f>
        <v>0</v>
      </c>
      <c r="C33" s="22">
        <f>B33*COUNTIF(Kostenquotenrechner!BB18:BE18,TRUE)</f>
        <v>0</v>
      </c>
      <c r="D33" s="3"/>
      <c r="E33" s="22">
        <f>IF(Kostenquotenrechner!$AY18=TRUE,Kostenquotenrechner!N18+IF(AND(Kostenquotenrechner!$BF18=TRUE,Kostenquotenrechner!$BG18=FALSE,Kostenquotenrechner!$BH18=FALSE,Kostenquotenrechner!$BI18=FALSE),Kostenquotenrechner!$V18,0),0)</f>
        <v>0</v>
      </c>
      <c r="F33" s="22">
        <f>IF(Kostenquotenrechner!$AY18,Kostenquotenrechner!O18+IF(AND(Kostenquotenrechner!$BF18=FALSE,Kostenquotenrechner!$BG18=TRUE,Kostenquotenrechner!$BH18=FALSE,Kostenquotenrechner!$BI18=FALSE),Kostenquotenrechner!$V18,0),0)</f>
        <v>0</v>
      </c>
      <c r="G33" s="22">
        <f>IF(Kostenquotenrechner!$AY18,Kostenquotenrechner!P18+IF(AND(Kostenquotenrechner!$BF18=FALSE,Kostenquotenrechner!$BG18=FALSE,Kostenquotenrechner!$BH18=TRUE,Kostenquotenrechner!$BI18=FALSE),Kostenquotenrechner!$V18,0),0)</f>
        <v>0</v>
      </c>
      <c r="H33" s="22">
        <f>IF(Kostenquotenrechner!$AY18,Kostenquotenrechner!Q18+IF(AND(Kostenquotenrechner!$BF18=FALSE,Kostenquotenrechner!$BG18=FALSE,Kostenquotenrechner!$BH18=FALSE,Kostenquotenrechner!$BI18=TRUE),Kostenquotenrechner!$V18,0),0)</f>
        <v>0</v>
      </c>
      <c r="I33" s="22">
        <f>IF(Kostenquotenrechner!$AY18,IF(AND(Kostenquotenrechner!$BF18=TRUE,Kostenquotenrechner!$BG18=TRUE,Kostenquotenrechner!$BH18=FALSE,Kostenquotenrechner!$BI18=FALSE),Kostenquotenrechner!$V18,0),0)</f>
        <v>0</v>
      </c>
      <c r="J33" s="22">
        <f>IF(Kostenquotenrechner!$AY18,IF(AND(Kostenquotenrechner!$BF18=TRUE,Kostenquotenrechner!$BG18=FALSE,Kostenquotenrechner!$BH18=TRUE,Kostenquotenrechner!$BI18=FALSE),Kostenquotenrechner!$V18,0),0)</f>
        <v>0</v>
      </c>
      <c r="K33" s="22">
        <f>IF(Kostenquotenrechner!$AY18,IF(AND(Kostenquotenrechner!$BF18=TRUE,Kostenquotenrechner!$BG18=FALSE,Kostenquotenrechner!$BH18=FALSE,Kostenquotenrechner!$BI18=TRUE),Kostenquotenrechner!$V18,0),0)</f>
        <v>0</v>
      </c>
      <c r="L33" s="22">
        <f>IF(Kostenquotenrechner!$AY18,IF(AND(Kostenquotenrechner!$BF18=FALSE,Kostenquotenrechner!$BG18=TRUE,Kostenquotenrechner!$BH18=TRUE,Kostenquotenrechner!$BI18=FALSE),Kostenquotenrechner!$V18,0),0)</f>
        <v>0</v>
      </c>
      <c r="M33" s="22">
        <f>IF(Kostenquotenrechner!$AY18,IF(AND(Kostenquotenrechner!$BF18=FALSE,Kostenquotenrechner!$BG18=TRUE,Kostenquotenrechner!$BH18=FALSE,Kostenquotenrechner!$BI18=TRUE),Kostenquotenrechner!$V18,0),0)</f>
        <v>0</v>
      </c>
      <c r="N33" s="22">
        <f>IF(Kostenquotenrechner!$AY18,IF(AND(Kostenquotenrechner!$BF18=FALSE,Kostenquotenrechner!$BG18=FALSE,Kostenquotenrechner!$BH18=TRUE,Kostenquotenrechner!$BI18=TRUE),Kostenquotenrechner!$V18,0),0)</f>
        <v>0</v>
      </c>
      <c r="O33" s="22">
        <f>IF(Kostenquotenrechner!$AY18,IF(AND(Kostenquotenrechner!$BF18=TRUE,Kostenquotenrechner!$BG18=TRUE,Kostenquotenrechner!$BH18=TRUE,Kostenquotenrechner!$BI18=FALSE),Kostenquotenrechner!$V18,0),0)</f>
        <v>0</v>
      </c>
      <c r="P33" s="22">
        <f>IF(Kostenquotenrechner!$AY18,IF(AND(Kostenquotenrechner!$BF18=TRUE,Kostenquotenrechner!$BG18=TRUE,Kostenquotenrechner!$BH18=FALSE,Kostenquotenrechner!$BI18=TRUE),Kostenquotenrechner!$V18,0),0)</f>
        <v>0</v>
      </c>
      <c r="Q33" s="22">
        <f>IF(Kostenquotenrechner!$AY18,IF(AND(Kostenquotenrechner!$BF18=TRUE,Kostenquotenrechner!$BG18=FALSE,Kostenquotenrechner!$BH18=TRUE,Kostenquotenrechner!$BI18=TRUE),Kostenquotenrechner!$V18,0),0)</f>
        <v>0</v>
      </c>
      <c r="R33" s="22">
        <f>IF(Kostenquotenrechner!$AY18,IF(AND(Kostenquotenrechner!$BF18=FALSE,Kostenquotenrechner!$BG18=TRUE,Kostenquotenrechner!$BH18=TRUE,Kostenquotenrechner!$BI18=TRUE),Kostenquotenrechner!$V18,0),0)</f>
        <v>0</v>
      </c>
      <c r="S33" s="22">
        <f>IF(Kostenquotenrechner!$AY18,IF(AND(Kostenquotenrechner!$BF18=TRUE,Kostenquotenrechner!$BG18=TRUE,Kostenquotenrechner!$BH18=TRUE,Kostenquotenrechner!$BI18=TRUE),Kostenquotenrechner!$V18,0),0)</f>
        <v>0</v>
      </c>
      <c r="T33" s="4"/>
      <c r="U33" s="4"/>
      <c r="V33" s="4"/>
      <c r="W33" s="4"/>
      <c r="X33" s="4"/>
    </row>
    <row r="34" spans="1:24" x14ac:dyDescent="0.2">
      <c r="A34" s="4"/>
      <c r="B34" s="22">
        <f>IF(Kostenquotenrechner!AY19=TRUE,Kostenquotenrechner!C19,0)</f>
        <v>0</v>
      </c>
      <c r="C34" s="22">
        <f>B34*COUNTIF(Kostenquotenrechner!BB19:BE19,TRUE)</f>
        <v>0</v>
      </c>
      <c r="D34" s="3"/>
      <c r="E34" s="22">
        <f>IF(Kostenquotenrechner!$AY19=TRUE,Kostenquotenrechner!N19+IF(AND(Kostenquotenrechner!$BF19=TRUE,Kostenquotenrechner!$BG19=FALSE,Kostenquotenrechner!$BH19=FALSE,Kostenquotenrechner!$BI19=FALSE),Kostenquotenrechner!$V19,0),0)</f>
        <v>0</v>
      </c>
      <c r="F34" s="22">
        <f>IF(Kostenquotenrechner!$AY19,Kostenquotenrechner!O19+IF(AND(Kostenquotenrechner!$BF19=FALSE,Kostenquotenrechner!$BG19=TRUE,Kostenquotenrechner!$BH19=FALSE,Kostenquotenrechner!$BI19=FALSE),Kostenquotenrechner!$V19,0),0)</f>
        <v>0</v>
      </c>
      <c r="G34" s="22">
        <f>IF(Kostenquotenrechner!$AY19,Kostenquotenrechner!P19+IF(AND(Kostenquotenrechner!$BF19=FALSE,Kostenquotenrechner!$BG19=FALSE,Kostenquotenrechner!$BH19=TRUE,Kostenquotenrechner!$BI19=FALSE),Kostenquotenrechner!$V19,0),0)</f>
        <v>0</v>
      </c>
      <c r="H34" s="22">
        <f>IF(Kostenquotenrechner!$AY19,Kostenquotenrechner!Q19+IF(AND(Kostenquotenrechner!$BF19=FALSE,Kostenquotenrechner!$BG19=FALSE,Kostenquotenrechner!$BH19=FALSE,Kostenquotenrechner!$BI19=TRUE),Kostenquotenrechner!$V19,0),0)</f>
        <v>0</v>
      </c>
      <c r="I34" s="22">
        <f>IF(Kostenquotenrechner!$AY19,IF(AND(Kostenquotenrechner!$BF19=TRUE,Kostenquotenrechner!$BG19=TRUE,Kostenquotenrechner!$BH19=FALSE,Kostenquotenrechner!$BI19=FALSE),Kostenquotenrechner!$V19,0),0)</f>
        <v>0</v>
      </c>
      <c r="J34" s="22">
        <f>IF(Kostenquotenrechner!$AY19,IF(AND(Kostenquotenrechner!$BF19=TRUE,Kostenquotenrechner!$BG19=FALSE,Kostenquotenrechner!$BH19=TRUE,Kostenquotenrechner!$BI19=FALSE),Kostenquotenrechner!$V19,0),0)</f>
        <v>0</v>
      </c>
      <c r="K34" s="22">
        <f>IF(Kostenquotenrechner!$AY19,IF(AND(Kostenquotenrechner!$BF19=TRUE,Kostenquotenrechner!$BG19=FALSE,Kostenquotenrechner!$BH19=FALSE,Kostenquotenrechner!$BI19=TRUE),Kostenquotenrechner!$V19,0),0)</f>
        <v>0</v>
      </c>
      <c r="L34" s="22">
        <f>IF(Kostenquotenrechner!$AY19,IF(AND(Kostenquotenrechner!$BF19=FALSE,Kostenquotenrechner!$BG19=TRUE,Kostenquotenrechner!$BH19=TRUE,Kostenquotenrechner!$BI19=FALSE),Kostenquotenrechner!$V19,0),0)</f>
        <v>0</v>
      </c>
      <c r="M34" s="22">
        <f>IF(Kostenquotenrechner!$AY19,IF(AND(Kostenquotenrechner!$BF19=FALSE,Kostenquotenrechner!$BG19=TRUE,Kostenquotenrechner!$BH19=FALSE,Kostenquotenrechner!$BI19=TRUE),Kostenquotenrechner!$V19,0),0)</f>
        <v>0</v>
      </c>
      <c r="N34" s="22">
        <f>IF(Kostenquotenrechner!$AY19,IF(AND(Kostenquotenrechner!$BF19=FALSE,Kostenquotenrechner!$BG19=FALSE,Kostenquotenrechner!$BH19=TRUE,Kostenquotenrechner!$BI19=TRUE),Kostenquotenrechner!$V19,0),0)</f>
        <v>0</v>
      </c>
      <c r="O34" s="22">
        <f>IF(Kostenquotenrechner!$AY19,IF(AND(Kostenquotenrechner!$BF19=TRUE,Kostenquotenrechner!$BG19=TRUE,Kostenquotenrechner!$BH19=TRUE,Kostenquotenrechner!$BI19=FALSE),Kostenquotenrechner!$V19,0),0)</f>
        <v>0</v>
      </c>
      <c r="P34" s="22">
        <f>IF(Kostenquotenrechner!$AY19,IF(AND(Kostenquotenrechner!$BF19=TRUE,Kostenquotenrechner!$BG19=TRUE,Kostenquotenrechner!$BH19=FALSE,Kostenquotenrechner!$BI19=TRUE),Kostenquotenrechner!$V19,0),0)</f>
        <v>0</v>
      </c>
      <c r="Q34" s="22">
        <f>IF(Kostenquotenrechner!$AY19,IF(AND(Kostenquotenrechner!$BF19=TRUE,Kostenquotenrechner!$BG19=FALSE,Kostenquotenrechner!$BH19=TRUE,Kostenquotenrechner!$BI19=TRUE),Kostenquotenrechner!$V19,0),0)</f>
        <v>0</v>
      </c>
      <c r="R34" s="22">
        <f>IF(Kostenquotenrechner!$AY19,IF(AND(Kostenquotenrechner!$BF19=FALSE,Kostenquotenrechner!$BG19=TRUE,Kostenquotenrechner!$BH19=TRUE,Kostenquotenrechner!$BI19=TRUE),Kostenquotenrechner!$V19,0),0)</f>
        <v>0</v>
      </c>
      <c r="S34" s="22">
        <f>IF(Kostenquotenrechner!$AY19,IF(AND(Kostenquotenrechner!$BF19=TRUE,Kostenquotenrechner!$BG19=TRUE,Kostenquotenrechner!$BH19=TRUE,Kostenquotenrechner!$BI19=TRUE),Kostenquotenrechner!$V19,0),0)</f>
        <v>0</v>
      </c>
      <c r="T34" s="4"/>
      <c r="U34" s="4"/>
      <c r="V34" s="4"/>
      <c r="W34" s="4"/>
      <c r="X34" s="4"/>
    </row>
    <row r="35" spans="1:24" x14ac:dyDescent="0.2">
      <c r="A35" s="4"/>
      <c r="B35" s="22">
        <f>IF(Kostenquotenrechner!AY20=TRUE,Kostenquotenrechner!C20,0)</f>
        <v>0</v>
      </c>
      <c r="C35" s="22">
        <f>B35*COUNTIF(Kostenquotenrechner!BB20:BE20,TRUE)</f>
        <v>0</v>
      </c>
      <c r="D35" s="3"/>
      <c r="E35" s="22">
        <f>IF(Kostenquotenrechner!$AY20=TRUE,Kostenquotenrechner!N20+IF(AND(Kostenquotenrechner!$BF20=TRUE,Kostenquotenrechner!$BG20=FALSE,Kostenquotenrechner!$BH20=FALSE,Kostenquotenrechner!$BI20=FALSE),Kostenquotenrechner!$V20,0),0)</f>
        <v>0</v>
      </c>
      <c r="F35" s="22">
        <f>IF(Kostenquotenrechner!$AY20,Kostenquotenrechner!O20+IF(AND(Kostenquotenrechner!$BF20=FALSE,Kostenquotenrechner!$BG20=TRUE,Kostenquotenrechner!$BH20=FALSE,Kostenquotenrechner!$BI20=FALSE),Kostenquotenrechner!$V20,0),0)</f>
        <v>0</v>
      </c>
      <c r="G35" s="22">
        <f>IF(Kostenquotenrechner!$AY20,Kostenquotenrechner!P20+IF(AND(Kostenquotenrechner!$BF20=FALSE,Kostenquotenrechner!$BG20=FALSE,Kostenquotenrechner!$BH20=TRUE,Kostenquotenrechner!$BI20=FALSE),Kostenquotenrechner!$V20,0),0)</f>
        <v>0</v>
      </c>
      <c r="H35" s="22">
        <f>IF(Kostenquotenrechner!$AY20,Kostenquotenrechner!Q20+IF(AND(Kostenquotenrechner!$BF20=FALSE,Kostenquotenrechner!$BG20=FALSE,Kostenquotenrechner!$BH20=FALSE,Kostenquotenrechner!$BI20=TRUE),Kostenquotenrechner!$V20,0),0)</f>
        <v>0</v>
      </c>
      <c r="I35" s="22">
        <f>IF(Kostenquotenrechner!$AY20,IF(AND(Kostenquotenrechner!$BF20=TRUE,Kostenquotenrechner!$BG20=TRUE,Kostenquotenrechner!$BH20=FALSE,Kostenquotenrechner!$BI20=FALSE),Kostenquotenrechner!$V20,0),0)</f>
        <v>0</v>
      </c>
      <c r="J35" s="22">
        <f>IF(Kostenquotenrechner!$AY20,IF(AND(Kostenquotenrechner!$BF20=TRUE,Kostenquotenrechner!$BG20=FALSE,Kostenquotenrechner!$BH20=TRUE,Kostenquotenrechner!$BI20=FALSE),Kostenquotenrechner!$V20,0),0)</f>
        <v>0</v>
      </c>
      <c r="K35" s="22">
        <f>IF(Kostenquotenrechner!$AY20,IF(AND(Kostenquotenrechner!$BF20=TRUE,Kostenquotenrechner!$BG20=FALSE,Kostenquotenrechner!$BH20=FALSE,Kostenquotenrechner!$BI20=TRUE),Kostenquotenrechner!$V20,0),0)</f>
        <v>0</v>
      </c>
      <c r="L35" s="22">
        <f>IF(Kostenquotenrechner!$AY20,IF(AND(Kostenquotenrechner!$BF20=FALSE,Kostenquotenrechner!$BG20=TRUE,Kostenquotenrechner!$BH20=TRUE,Kostenquotenrechner!$BI20=FALSE),Kostenquotenrechner!$V20,0),0)</f>
        <v>0</v>
      </c>
      <c r="M35" s="22">
        <f>IF(Kostenquotenrechner!$AY20,IF(AND(Kostenquotenrechner!$BF20=FALSE,Kostenquotenrechner!$BG20=TRUE,Kostenquotenrechner!$BH20=FALSE,Kostenquotenrechner!$BI20=TRUE),Kostenquotenrechner!$V20,0),0)</f>
        <v>0</v>
      </c>
      <c r="N35" s="22">
        <f>IF(Kostenquotenrechner!$AY20,IF(AND(Kostenquotenrechner!$BF20=FALSE,Kostenquotenrechner!$BG20=FALSE,Kostenquotenrechner!$BH20=TRUE,Kostenquotenrechner!$BI20=TRUE),Kostenquotenrechner!$V20,0),0)</f>
        <v>0</v>
      </c>
      <c r="O35" s="22">
        <f>IF(Kostenquotenrechner!$AY20,IF(AND(Kostenquotenrechner!$BF20=TRUE,Kostenquotenrechner!$BG20=TRUE,Kostenquotenrechner!$BH20=TRUE,Kostenquotenrechner!$BI20=FALSE),Kostenquotenrechner!$V20,0),0)</f>
        <v>0</v>
      </c>
      <c r="P35" s="22">
        <f>IF(Kostenquotenrechner!$AY20,IF(AND(Kostenquotenrechner!$BF20=TRUE,Kostenquotenrechner!$BG20=TRUE,Kostenquotenrechner!$BH20=FALSE,Kostenquotenrechner!$BI20=TRUE),Kostenquotenrechner!$V20,0),0)</f>
        <v>0</v>
      </c>
      <c r="Q35" s="22">
        <f>IF(Kostenquotenrechner!$AY20,IF(AND(Kostenquotenrechner!$BF20=TRUE,Kostenquotenrechner!$BG20=FALSE,Kostenquotenrechner!$BH20=TRUE,Kostenquotenrechner!$BI20=TRUE),Kostenquotenrechner!$V20,0),0)</f>
        <v>0</v>
      </c>
      <c r="R35" s="22">
        <f>IF(Kostenquotenrechner!$AY20,IF(AND(Kostenquotenrechner!$BF20=FALSE,Kostenquotenrechner!$BG20=TRUE,Kostenquotenrechner!$BH20=TRUE,Kostenquotenrechner!$BI20=TRUE),Kostenquotenrechner!$V20,0),0)</f>
        <v>0</v>
      </c>
      <c r="S35" s="22">
        <f>IF(Kostenquotenrechner!$AY20,IF(AND(Kostenquotenrechner!$BF20=TRUE,Kostenquotenrechner!$BG20=TRUE,Kostenquotenrechner!$BH20=TRUE,Kostenquotenrechner!$BI20=TRUE),Kostenquotenrechner!$V20,0),0)</f>
        <v>0</v>
      </c>
      <c r="T35" s="4"/>
      <c r="U35" s="4"/>
      <c r="V35" s="4"/>
      <c r="W35" s="4"/>
      <c r="X35" s="4"/>
    </row>
    <row r="36" spans="1:24" x14ac:dyDescent="0.2">
      <c r="A36" s="4" t="s">
        <v>601</v>
      </c>
      <c r="B36" s="3"/>
      <c r="C36" s="3"/>
      <c r="D36" s="3"/>
      <c r="E36" s="3" t="s">
        <v>599</v>
      </c>
      <c r="G36" s="3"/>
      <c r="I36" s="22"/>
      <c r="J36" s="3"/>
      <c r="K36" s="28"/>
      <c r="L36" s="28"/>
      <c r="M36" s="28"/>
      <c r="N36" s="28"/>
      <c r="O36" s="28"/>
      <c r="P36" s="28"/>
      <c r="Q36" s="28"/>
      <c r="R36" s="28"/>
      <c r="S36" s="28"/>
      <c r="T36" s="4"/>
      <c r="U36" s="4"/>
      <c r="V36" s="4"/>
      <c r="W36" s="4"/>
      <c r="X36" s="4"/>
    </row>
    <row r="37" spans="1:24" x14ac:dyDescent="0.2">
      <c r="A37" s="4" t="s">
        <v>438</v>
      </c>
      <c r="B37" s="3" t="s">
        <v>589</v>
      </c>
      <c r="C37" s="3" t="s">
        <v>440</v>
      </c>
      <c r="D37" s="3"/>
      <c r="E37" s="3" t="s">
        <v>609</v>
      </c>
      <c r="F37" s="2" t="s">
        <v>610</v>
      </c>
      <c r="G37" s="3" t="s">
        <v>4</v>
      </c>
      <c r="H37" s="2" t="s">
        <v>8</v>
      </c>
      <c r="I37" s="2" t="s">
        <v>15</v>
      </c>
      <c r="J37" s="3" t="s">
        <v>14</v>
      </c>
      <c r="K37" s="28" t="s">
        <v>16</v>
      </c>
      <c r="L37" s="28" t="s">
        <v>17</v>
      </c>
      <c r="M37" s="28" t="s">
        <v>18</v>
      </c>
      <c r="N37" s="28" t="s">
        <v>23</v>
      </c>
      <c r="O37" s="28" t="s">
        <v>19</v>
      </c>
      <c r="P37" s="28" t="s">
        <v>20</v>
      </c>
      <c r="Q37" s="28" t="s">
        <v>21</v>
      </c>
      <c r="R37" s="28" t="s">
        <v>22</v>
      </c>
      <c r="S37" s="28" t="s">
        <v>24</v>
      </c>
      <c r="T37" s="4"/>
      <c r="U37" s="4"/>
      <c r="V37" s="4"/>
      <c r="W37" s="4"/>
      <c r="X37" s="4"/>
    </row>
    <row r="38" spans="1:24" x14ac:dyDescent="0.2">
      <c r="A38" s="4"/>
      <c r="B38" s="22">
        <f>IF(Kostenquotenrechner!AZ18=TRUE,Kostenquotenrechner!C18,0)</f>
        <v>0</v>
      </c>
      <c r="C38" s="22">
        <f>B38*COUNTIF(Kostenquotenrechner!BB18:BE18,TRUE)</f>
        <v>0</v>
      </c>
      <c r="D38" s="3"/>
      <c r="E38" s="22">
        <f>IF(Kostenquotenrechner!$AZ18=TRUE,Kostenquotenrechner!N18+IF(AND(Kostenquotenrechner!$BF18=TRUE,Kostenquotenrechner!$BG18=FALSE,Kostenquotenrechner!$BH18=FALSE,Kostenquotenrechner!$BI18=FALSE),Kostenquotenrechner!$V18,0),0)</f>
        <v>0</v>
      </c>
      <c r="F38" s="22">
        <f>IF(Kostenquotenrechner!$AZ18,Kostenquotenrechner!O18+IF(AND(Kostenquotenrechner!$BF18=FALSE,Kostenquotenrechner!$BG18=TRUE,Kostenquotenrechner!$BH18=FALSE,Kostenquotenrechner!$BI18=FALSE),Kostenquotenrechner!$V18,0),0)</f>
        <v>0</v>
      </c>
      <c r="G38" s="22">
        <f>IF(Kostenquotenrechner!$AZ18,Kostenquotenrechner!P18+IF(AND(Kostenquotenrechner!$BF18=FALSE,Kostenquotenrechner!$BG18=FALSE,Kostenquotenrechner!$BH18=TRUE,Kostenquotenrechner!$BI18=FALSE),Kostenquotenrechner!$V18,0),0)</f>
        <v>0</v>
      </c>
      <c r="H38" s="22">
        <f>IF(Kostenquotenrechner!$AZ18,Kostenquotenrechner!Q18+IF(AND(Kostenquotenrechner!$BF18=FALSE,Kostenquotenrechner!$BG18=FALSE,Kostenquotenrechner!$BH18=FALSE,Kostenquotenrechner!$BI18=TRUE),Kostenquotenrechner!$V18,0),0)</f>
        <v>0</v>
      </c>
      <c r="I38" s="22">
        <f>IF(Kostenquotenrechner!$AZ18,IF(AND(Kostenquotenrechner!$BF18=TRUE,Kostenquotenrechner!$BG18=TRUE,Kostenquotenrechner!$BH18=FALSE,Kostenquotenrechner!$BI18=FALSE),Kostenquotenrechner!$V18,0),0)</f>
        <v>0</v>
      </c>
      <c r="J38" s="22">
        <f>IF(Kostenquotenrechner!$AZ18,IF(AND(Kostenquotenrechner!$BF18=TRUE,Kostenquotenrechner!$BG18=FALSE,Kostenquotenrechner!$BH18=TRUE,Kostenquotenrechner!$BI18=FALSE),Kostenquotenrechner!$V18,0),0)</f>
        <v>0</v>
      </c>
      <c r="K38" s="22">
        <f>IF(Kostenquotenrechner!$AZ18,IF(AND(Kostenquotenrechner!$BF18=TRUE,Kostenquotenrechner!$BG18=FALSE,Kostenquotenrechner!$BH18=FALSE,Kostenquotenrechner!$BI18=TRUE),Kostenquotenrechner!$V18,0),0)</f>
        <v>0</v>
      </c>
      <c r="L38" s="22">
        <f>IF(Kostenquotenrechner!$AZ18,IF(AND(Kostenquotenrechner!$BF18=FALSE,Kostenquotenrechner!$BG18=TRUE,Kostenquotenrechner!$BH18=TRUE,Kostenquotenrechner!$BI18=FALSE),Kostenquotenrechner!$V18,0),0)</f>
        <v>0</v>
      </c>
      <c r="M38" s="22">
        <f>IF(Kostenquotenrechner!$AZ18,IF(AND(Kostenquotenrechner!$BF18=FALSE,Kostenquotenrechner!$BG18=TRUE,Kostenquotenrechner!$BH18=FALSE,Kostenquotenrechner!$BI18=TRUE),Kostenquotenrechner!$V18,0),0)</f>
        <v>0</v>
      </c>
      <c r="N38" s="22">
        <f>IF(Kostenquotenrechner!$AZ18,IF(AND(Kostenquotenrechner!$BF18=FALSE,Kostenquotenrechner!$BG18=FALSE,Kostenquotenrechner!$BH18=TRUE,Kostenquotenrechner!$BI18=TRUE),Kostenquotenrechner!$V18,0),0)</f>
        <v>0</v>
      </c>
      <c r="O38" s="22">
        <f>IF(Kostenquotenrechner!$AZ18,IF(AND(Kostenquotenrechner!$BF18=TRUE,Kostenquotenrechner!$BG18=TRUE,Kostenquotenrechner!$BH18=TRUE,Kostenquotenrechner!$BI18=FALSE),Kostenquotenrechner!$V18,0),0)</f>
        <v>0</v>
      </c>
      <c r="P38" s="22">
        <f>IF(Kostenquotenrechner!$AZ18,IF(AND(Kostenquotenrechner!$BF18=TRUE,Kostenquotenrechner!$BG18=TRUE,Kostenquotenrechner!$BH18=FALSE,Kostenquotenrechner!$BI18=TRUE),Kostenquotenrechner!$V18,0),0)</f>
        <v>0</v>
      </c>
      <c r="Q38" s="22">
        <f>IF(Kostenquotenrechner!$AZ18,IF(AND(Kostenquotenrechner!$BF18=TRUE,Kostenquotenrechner!$BG18=FALSE,Kostenquotenrechner!$BH18=TRUE,Kostenquotenrechner!$BI18=TRUE),Kostenquotenrechner!$V18,0),0)</f>
        <v>0</v>
      </c>
      <c r="R38" s="22">
        <f>IF(Kostenquotenrechner!$AZ18,IF(AND(Kostenquotenrechner!$BF18=FALSE,Kostenquotenrechner!$BG18=TRUE,Kostenquotenrechner!$BH18=TRUE,Kostenquotenrechner!$BI18=TRUE),Kostenquotenrechner!$V18,0),0)</f>
        <v>0</v>
      </c>
      <c r="S38" s="22">
        <f>IF(Kostenquotenrechner!$AZ18,IF(AND(Kostenquotenrechner!$BF18=TRUE,Kostenquotenrechner!$BG18=TRUE,Kostenquotenrechner!$BH18=TRUE,Kostenquotenrechner!$BI18=TRUE),Kostenquotenrechner!$V18,0),0)</f>
        <v>0</v>
      </c>
      <c r="T38" s="4"/>
      <c r="U38" s="4"/>
      <c r="V38" s="4"/>
      <c r="W38" s="4"/>
      <c r="X38" s="4"/>
    </row>
    <row r="39" spans="1:24" x14ac:dyDescent="0.2">
      <c r="A39" s="4"/>
      <c r="B39" s="22">
        <f>IF(Kostenquotenrechner!AZ19=TRUE,Kostenquotenrechner!C19,0)</f>
        <v>0</v>
      </c>
      <c r="C39" s="22">
        <f>B39*COUNTIF(Kostenquotenrechner!BB19:BE19,TRUE)</f>
        <v>0</v>
      </c>
      <c r="D39" s="3"/>
      <c r="E39" s="22">
        <f>IF(Kostenquotenrechner!$AZ19=TRUE,Kostenquotenrechner!N19+IF(AND(Kostenquotenrechner!$BF19=TRUE,Kostenquotenrechner!$BG19=FALSE,Kostenquotenrechner!$BH19=FALSE,Kostenquotenrechner!$BI19=FALSE),Kostenquotenrechner!$V19,0),0)</f>
        <v>0</v>
      </c>
      <c r="F39" s="22">
        <f>IF(Kostenquotenrechner!$AZ19,Kostenquotenrechner!O19+IF(AND(Kostenquotenrechner!$BF19=FALSE,Kostenquotenrechner!$BG19=TRUE,Kostenquotenrechner!$BH19=FALSE,Kostenquotenrechner!$BI19=FALSE),Kostenquotenrechner!$V19,0),0)</f>
        <v>0</v>
      </c>
      <c r="G39" s="22">
        <f>IF(Kostenquotenrechner!$AZ19,Kostenquotenrechner!P19+IF(AND(Kostenquotenrechner!$BF19=FALSE,Kostenquotenrechner!$BG19=FALSE,Kostenquotenrechner!$BH19=TRUE,Kostenquotenrechner!$BI19=FALSE),Kostenquotenrechner!$V19,0),0)</f>
        <v>0</v>
      </c>
      <c r="H39" s="22">
        <f>IF(Kostenquotenrechner!$AZ19,Kostenquotenrechner!Q19+IF(AND(Kostenquotenrechner!$BF19=FALSE,Kostenquotenrechner!$BG19=FALSE,Kostenquotenrechner!$BH19=FALSE,Kostenquotenrechner!$BI19=TRUE),Kostenquotenrechner!$V19,0),0)</f>
        <v>0</v>
      </c>
      <c r="I39" s="22">
        <f>IF(Kostenquotenrechner!$AZ19,IF(AND(Kostenquotenrechner!$BF19=TRUE,Kostenquotenrechner!$BG19=TRUE,Kostenquotenrechner!$BH19=FALSE,Kostenquotenrechner!$BI19=FALSE),Kostenquotenrechner!$V19,0),0)</f>
        <v>0</v>
      </c>
      <c r="J39" s="22">
        <f>IF(Kostenquotenrechner!$AZ19,IF(AND(Kostenquotenrechner!$BF19=TRUE,Kostenquotenrechner!$BG19=FALSE,Kostenquotenrechner!$BH19=TRUE,Kostenquotenrechner!$BI19=FALSE),Kostenquotenrechner!$V19,0),0)</f>
        <v>0</v>
      </c>
      <c r="K39" s="22">
        <f>IF(Kostenquotenrechner!$AZ19,IF(AND(Kostenquotenrechner!$BF19=TRUE,Kostenquotenrechner!$BG19=FALSE,Kostenquotenrechner!$BH19=FALSE,Kostenquotenrechner!$BI19=TRUE),Kostenquotenrechner!$V19,0),0)</f>
        <v>0</v>
      </c>
      <c r="L39" s="22">
        <f>IF(Kostenquotenrechner!$AZ19,IF(AND(Kostenquotenrechner!$BF19=FALSE,Kostenquotenrechner!$BG19=TRUE,Kostenquotenrechner!$BH19=TRUE,Kostenquotenrechner!$BI19=FALSE),Kostenquotenrechner!$V19,0),0)</f>
        <v>0</v>
      </c>
      <c r="M39" s="22">
        <f>IF(Kostenquotenrechner!$AZ19,IF(AND(Kostenquotenrechner!$BF19=FALSE,Kostenquotenrechner!$BG19=TRUE,Kostenquotenrechner!$BH19=FALSE,Kostenquotenrechner!$BI19=TRUE),Kostenquotenrechner!$V19,0),0)</f>
        <v>0</v>
      </c>
      <c r="N39" s="22">
        <f>IF(Kostenquotenrechner!$AZ19,IF(AND(Kostenquotenrechner!$BF19=FALSE,Kostenquotenrechner!$BG19=FALSE,Kostenquotenrechner!$BH19=TRUE,Kostenquotenrechner!$BI19=TRUE),Kostenquotenrechner!$V19,0),0)</f>
        <v>0</v>
      </c>
      <c r="O39" s="22">
        <f>IF(Kostenquotenrechner!$AZ19,IF(AND(Kostenquotenrechner!$BF19=TRUE,Kostenquotenrechner!$BG19=TRUE,Kostenquotenrechner!$BH19=TRUE,Kostenquotenrechner!$BI19=FALSE),Kostenquotenrechner!$V19,0),0)</f>
        <v>0</v>
      </c>
      <c r="P39" s="22">
        <f>IF(Kostenquotenrechner!$AZ19,IF(AND(Kostenquotenrechner!$BF19=TRUE,Kostenquotenrechner!$BG19=TRUE,Kostenquotenrechner!$BH19=FALSE,Kostenquotenrechner!$BI19=TRUE),Kostenquotenrechner!$V19,0),0)</f>
        <v>0</v>
      </c>
      <c r="Q39" s="22">
        <f>IF(Kostenquotenrechner!$AZ19,IF(AND(Kostenquotenrechner!$BF19=TRUE,Kostenquotenrechner!$BG19=FALSE,Kostenquotenrechner!$BH19=TRUE,Kostenquotenrechner!$BI19=TRUE),Kostenquotenrechner!$V19,0),0)</f>
        <v>0</v>
      </c>
      <c r="R39" s="22">
        <f>IF(Kostenquotenrechner!$AZ19,IF(AND(Kostenquotenrechner!$BF19=FALSE,Kostenquotenrechner!$BG19=TRUE,Kostenquotenrechner!$BH19=TRUE,Kostenquotenrechner!$BI19=TRUE),Kostenquotenrechner!$V19,0),0)</f>
        <v>0</v>
      </c>
      <c r="S39" s="22">
        <f>IF(Kostenquotenrechner!$AZ19,IF(AND(Kostenquotenrechner!$BF19=TRUE,Kostenquotenrechner!$BG19=TRUE,Kostenquotenrechner!$BH19=TRUE,Kostenquotenrechner!$BI19=TRUE),Kostenquotenrechner!$V19,0),0)</f>
        <v>0</v>
      </c>
      <c r="T39" s="4"/>
      <c r="U39" s="4"/>
      <c r="V39" s="4"/>
      <c r="W39" s="4"/>
      <c r="X39" s="4"/>
    </row>
    <row r="40" spans="1:24" x14ac:dyDescent="0.2">
      <c r="A40" s="4"/>
      <c r="B40" s="22">
        <f>IF(Kostenquotenrechner!AZ20=TRUE,Kostenquotenrechner!C20,0)</f>
        <v>0</v>
      </c>
      <c r="C40" s="22">
        <f>B40*COUNTIF(Kostenquotenrechner!BB20:BE20,TRUE)</f>
        <v>0</v>
      </c>
      <c r="D40" s="3"/>
      <c r="E40" s="22">
        <f>IF(Kostenquotenrechner!$AZ20=TRUE,Kostenquotenrechner!N20+IF(AND(Kostenquotenrechner!$BF20=TRUE,Kostenquotenrechner!$BG20=FALSE,Kostenquotenrechner!$BH20=FALSE,Kostenquotenrechner!$BI20=FALSE),Kostenquotenrechner!$V20,0),0)</f>
        <v>0</v>
      </c>
      <c r="F40" s="22">
        <f>IF(Kostenquotenrechner!$AZ20,Kostenquotenrechner!O20+IF(AND(Kostenquotenrechner!$BF20=FALSE,Kostenquotenrechner!$BG20=TRUE,Kostenquotenrechner!$BH20=FALSE,Kostenquotenrechner!$BI20=FALSE),Kostenquotenrechner!$V20,0),0)</f>
        <v>0</v>
      </c>
      <c r="G40" s="22">
        <f>IF(Kostenquotenrechner!$AZ20,Kostenquotenrechner!P20+IF(AND(Kostenquotenrechner!$BF20=FALSE,Kostenquotenrechner!$BG20=FALSE,Kostenquotenrechner!$BH20=TRUE,Kostenquotenrechner!$BI20=FALSE),Kostenquotenrechner!$V20,0),0)</f>
        <v>0</v>
      </c>
      <c r="H40" s="22">
        <f>IF(Kostenquotenrechner!$AZ20,Kostenquotenrechner!Q20+IF(AND(Kostenquotenrechner!$BF20=FALSE,Kostenquotenrechner!$BG20=FALSE,Kostenquotenrechner!$BH20=FALSE,Kostenquotenrechner!$BI20=TRUE),Kostenquotenrechner!$V20,0),0)</f>
        <v>0</v>
      </c>
      <c r="I40" s="22">
        <f>IF(Kostenquotenrechner!$AZ20,IF(AND(Kostenquotenrechner!$BF20=TRUE,Kostenquotenrechner!$BG20=TRUE,Kostenquotenrechner!$BH20=FALSE,Kostenquotenrechner!$BI20=FALSE),Kostenquotenrechner!$V20,0),0)</f>
        <v>0</v>
      </c>
      <c r="J40" s="22">
        <f>IF(Kostenquotenrechner!$AZ20,IF(AND(Kostenquotenrechner!$BF20=TRUE,Kostenquotenrechner!$BG20=FALSE,Kostenquotenrechner!$BH20=TRUE,Kostenquotenrechner!$BI20=FALSE),Kostenquotenrechner!$V20,0),0)</f>
        <v>0</v>
      </c>
      <c r="K40" s="22">
        <f>IF(Kostenquotenrechner!$AZ20,IF(AND(Kostenquotenrechner!$BF20=TRUE,Kostenquotenrechner!$BG20=FALSE,Kostenquotenrechner!$BH20=FALSE,Kostenquotenrechner!$BI20=TRUE),Kostenquotenrechner!$V20,0),0)</f>
        <v>0</v>
      </c>
      <c r="L40" s="22">
        <f>IF(Kostenquotenrechner!$AZ20,IF(AND(Kostenquotenrechner!$BF20=FALSE,Kostenquotenrechner!$BG20=TRUE,Kostenquotenrechner!$BH20=TRUE,Kostenquotenrechner!$BI20=FALSE),Kostenquotenrechner!$V20,0),0)</f>
        <v>0</v>
      </c>
      <c r="M40" s="22">
        <f>IF(Kostenquotenrechner!$AZ20,IF(AND(Kostenquotenrechner!$BF20=FALSE,Kostenquotenrechner!$BG20=TRUE,Kostenquotenrechner!$BH20=FALSE,Kostenquotenrechner!$BI20=TRUE),Kostenquotenrechner!$V20,0),0)</f>
        <v>0</v>
      </c>
      <c r="N40" s="22">
        <f>IF(Kostenquotenrechner!$AZ20,IF(AND(Kostenquotenrechner!$BF20=FALSE,Kostenquotenrechner!$BG20=FALSE,Kostenquotenrechner!$BH20=TRUE,Kostenquotenrechner!$BI20=TRUE),Kostenquotenrechner!$V20,0),0)</f>
        <v>0</v>
      </c>
      <c r="O40" s="22">
        <f>IF(Kostenquotenrechner!$AZ20,IF(AND(Kostenquotenrechner!$BF20=TRUE,Kostenquotenrechner!$BG20=TRUE,Kostenquotenrechner!$BH20=TRUE,Kostenquotenrechner!$BI20=FALSE),Kostenquotenrechner!$V20,0),0)</f>
        <v>0</v>
      </c>
      <c r="P40" s="22">
        <f>IF(Kostenquotenrechner!$AZ20,IF(AND(Kostenquotenrechner!$BF20=TRUE,Kostenquotenrechner!$BG20=TRUE,Kostenquotenrechner!$BH20=FALSE,Kostenquotenrechner!$BI20=TRUE),Kostenquotenrechner!$V20,0),0)</f>
        <v>0</v>
      </c>
      <c r="Q40" s="22">
        <f>IF(Kostenquotenrechner!$AZ20,IF(AND(Kostenquotenrechner!$BF20=TRUE,Kostenquotenrechner!$BG20=FALSE,Kostenquotenrechner!$BH20=TRUE,Kostenquotenrechner!$BI20=TRUE),Kostenquotenrechner!$V20,0),0)</f>
        <v>0</v>
      </c>
      <c r="R40" s="22">
        <f>IF(Kostenquotenrechner!$AZ20,IF(AND(Kostenquotenrechner!$BF20=FALSE,Kostenquotenrechner!$BG20=TRUE,Kostenquotenrechner!$BH20=TRUE,Kostenquotenrechner!$BI20=TRUE),Kostenquotenrechner!$V20,0),0)</f>
        <v>0</v>
      </c>
      <c r="S40" s="22">
        <f>IF(Kostenquotenrechner!$AZ20,IF(AND(Kostenquotenrechner!$BF20=TRUE,Kostenquotenrechner!$BG20=TRUE,Kostenquotenrechner!$BH20=TRUE,Kostenquotenrechner!$BI20=TRUE),Kostenquotenrechner!$V20,0),0)</f>
        <v>0</v>
      </c>
      <c r="T40" s="4"/>
      <c r="U40" s="4"/>
      <c r="V40" s="4"/>
      <c r="W40" s="4"/>
      <c r="X40" s="4"/>
    </row>
    <row r="41" spans="1:24" x14ac:dyDescent="0.2">
      <c r="A41" s="4" t="s">
        <v>597</v>
      </c>
      <c r="B41" s="3"/>
      <c r="C41" s="3"/>
      <c r="D41" s="3"/>
      <c r="E41" s="3" t="s">
        <v>600</v>
      </c>
      <c r="G41" s="3"/>
      <c r="I41" s="22"/>
      <c r="J41" s="3"/>
      <c r="K41" s="28"/>
      <c r="L41" s="28"/>
      <c r="M41" s="28"/>
      <c r="N41" s="28"/>
      <c r="O41" s="28"/>
      <c r="P41" s="28"/>
      <c r="Q41" s="28"/>
      <c r="R41" s="28"/>
      <c r="S41" s="28"/>
      <c r="T41" s="4"/>
      <c r="U41" s="4"/>
      <c r="V41" s="4"/>
      <c r="W41" s="4"/>
      <c r="X41" s="4"/>
    </row>
    <row r="42" spans="1:24" x14ac:dyDescent="0.2">
      <c r="A42" s="4" t="s">
        <v>438</v>
      </c>
      <c r="B42" s="3" t="s">
        <v>589</v>
      </c>
      <c r="C42" s="3" t="s">
        <v>440</v>
      </c>
      <c r="D42" s="3"/>
      <c r="E42" s="3" t="s">
        <v>609</v>
      </c>
      <c r="F42" s="2" t="s">
        <v>610</v>
      </c>
      <c r="G42" s="3" t="s">
        <v>4</v>
      </c>
      <c r="H42" s="2" t="s">
        <v>8</v>
      </c>
      <c r="I42" s="2" t="s">
        <v>15</v>
      </c>
      <c r="J42" s="3" t="s">
        <v>14</v>
      </c>
      <c r="K42" s="28" t="s">
        <v>16</v>
      </c>
      <c r="L42" s="28" t="s">
        <v>17</v>
      </c>
      <c r="M42" s="28" t="s">
        <v>18</v>
      </c>
      <c r="N42" s="28" t="s">
        <v>23</v>
      </c>
      <c r="O42" s="28" t="s">
        <v>19</v>
      </c>
      <c r="P42" s="28" t="s">
        <v>20</v>
      </c>
      <c r="Q42" s="28" t="s">
        <v>21</v>
      </c>
      <c r="R42" s="28" t="s">
        <v>22</v>
      </c>
      <c r="S42" s="28" t="s">
        <v>24</v>
      </c>
      <c r="T42" s="4"/>
      <c r="U42" s="4"/>
      <c r="V42" s="4"/>
      <c r="W42" s="4"/>
      <c r="X42" s="4"/>
    </row>
    <row r="43" spans="1:24" x14ac:dyDescent="0.2">
      <c r="A43" s="4"/>
      <c r="B43" s="22">
        <f>IF(Kostenquotenrechner!BA18=TRUE,Kostenquotenrechner!C18,0)</f>
        <v>0</v>
      </c>
      <c r="C43" s="22">
        <f>B43*COUNTIF(Kostenquotenrechner!BB18:BE18,TRUE)</f>
        <v>0</v>
      </c>
      <c r="D43" s="3"/>
      <c r="E43" s="22">
        <f>IF(Kostenquotenrechner!$BA18=TRUE,Kostenquotenrechner!N18+IF(AND(Kostenquotenrechner!$BF18=TRUE,Kostenquotenrechner!$BG18=FALSE,Kostenquotenrechner!$BH18=FALSE,Kostenquotenrechner!$BI18=FALSE),Kostenquotenrechner!$V18,0),0)</f>
        <v>0</v>
      </c>
      <c r="F43" s="22">
        <f>IF(Kostenquotenrechner!$BA18,Kostenquotenrechner!O18+IF(AND(Kostenquotenrechner!$BF18=FALSE,Kostenquotenrechner!$BG18=TRUE,Kostenquotenrechner!$BH18=FALSE,Kostenquotenrechner!$BI18=FALSE),Kostenquotenrechner!$V18,0),0)</f>
        <v>0</v>
      </c>
      <c r="G43" s="22">
        <f>IF(Kostenquotenrechner!$BA18,Kostenquotenrechner!P18+IF(AND(Kostenquotenrechner!$BF18=FALSE,Kostenquotenrechner!$BG18=FALSE,Kostenquotenrechner!$BH18=TRUE,Kostenquotenrechner!$BI18=FALSE),Kostenquotenrechner!$V18,0),0)</f>
        <v>0</v>
      </c>
      <c r="H43" s="22">
        <f>IF(Kostenquotenrechner!$BA18,Kostenquotenrechner!Q18+IF(AND(Kostenquotenrechner!$BF18=FALSE,Kostenquotenrechner!$BG18=FALSE,Kostenquotenrechner!$BH18=FALSE,Kostenquotenrechner!$BI18=TRUE),Kostenquotenrechner!$V18,0),0)</f>
        <v>0</v>
      </c>
      <c r="I43" s="22">
        <f>IF(Kostenquotenrechner!$BA18,IF(AND(Kostenquotenrechner!$BF18=TRUE,Kostenquotenrechner!$BG18=TRUE,Kostenquotenrechner!$BH18=FALSE,Kostenquotenrechner!$BI18=FALSE),Kostenquotenrechner!$V18,0),0)</f>
        <v>0</v>
      </c>
      <c r="J43" s="22">
        <f>IF(Kostenquotenrechner!$BA18,IF(AND(Kostenquotenrechner!$BF18=TRUE,Kostenquotenrechner!$BG18=FALSE,Kostenquotenrechner!$BH18=TRUE,Kostenquotenrechner!$BI18=FALSE),Kostenquotenrechner!$V18,0),0)</f>
        <v>0</v>
      </c>
      <c r="K43" s="22">
        <f>IF(Kostenquotenrechner!$BA18,IF(AND(Kostenquotenrechner!$BF18=TRUE,Kostenquotenrechner!$BG18=FALSE,Kostenquotenrechner!$BH18=FALSE,Kostenquotenrechner!$BI18=TRUE),Kostenquotenrechner!$V18,0),0)</f>
        <v>0</v>
      </c>
      <c r="L43" s="22">
        <f>IF(Kostenquotenrechner!$BA18,IF(AND(Kostenquotenrechner!$BF18=FALSE,Kostenquotenrechner!$BG18=TRUE,Kostenquotenrechner!$BH18=TRUE,Kostenquotenrechner!$BI18=FALSE),Kostenquotenrechner!$V18,0),0)</f>
        <v>0</v>
      </c>
      <c r="M43" s="22">
        <f>IF(Kostenquotenrechner!$BA18,IF(AND(Kostenquotenrechner!$BF18=FALSE,Kostenquotenrechner!$BG18=TRUE,Kostenquotenrechner!$BH18=FALSE,Kostenquotenrechner!$BI18=TRUE),Kostenquotenrechner!$V18,0),0)</f>
        <v>0</v>
      </c>
      <c r="N43" s="22">
        <f>IF(Kostenquotenrechner!$BA18,IF(AND(Kostenquotenrechner!$BF18=FALSE,Kostenquotenrechner!$BG18=FALSE,Kostenquotenrechner!$BH18=TRUE,Kostenquotenrechner!$BI18=TRUE),Kostenquotenrechner!$V18,0),0)</f>
        <v>0</v>
      </c>
      <c r="O43" s="22">
        <f>IF(Kostenquotenrechner!$BA18,IF(AND(Kostenquotenrechner!$BF18=TRUE,Kostenquotenrechner!$BG18=TRUE,Kostenquotenrechner!$BH18=TRUE,Kostenquotenrechner!$BI18=FALSE),Kostenquotenrechner!$V18,0),0)</f>
        <v>0</v>
      </c>
      <c r="P43" s="22">
        <f>IF(Kostenquotenrechner!$BA18,IF(AND(Kostenquotenrechner!$BF18=TRUE,Kostenquotenrechner!$BG18=TRUE,Kostenquotenrechner!$BH18=FALSE,Kostenquotenrechner!$BI18=TRUE),Kostenquotenrechner!$V18,0),0)</f>
        <v>0</v>
      </c>
      <c r="Q43" s="22">
        <f>IF(Kostenquotenrechner!$BA18,IF(AND(Kostenquotenrechner!$BF18=TRUE,Kostenquotenrechner!$BG18=FALSE,Kostenquotenrechner!$BH18=TRUE,Kostenquotenrechner!$BI18=TRUE),Kostenquotenrechner!$V18,0),0)</f>
        <v>0</v>
      </c>
      <c r="R43" s="22">
        <f>IF(Kostenquotenrechner!$BA18,IF(AND(Kostenquotenrechner!$BF18=FALSE,Kostenquotenrechner!$BG18=TRUE,Kostenquotenrechner!$BH18=TRUE,Kostenquotenrechner!$BI18=TRUE),Kostenquotenrechner!$V18,0),0)</f>
        <v>0</v>
      </c>
      <c r="S43" s="22">
        <f>IF(Kostenquotenrechner!$BA18,IF(AND(Kostenquotenrechner!$BF18=TRUE,Kostenquotenrechner!$BG18=TRUE,Kostenquotenrechner!$BH18=TRUE,Kostenquotenrechner!$BI18=TRUE),Kostenquotenrechner!$V18,0),0)</f>
        <v>0</v>
      </c>
      <c r="T43" s="4"/>
      <c r="U43" s="4"/>
      <c r="V43" s="4"/>
      <c r="W43" s="4"/>
      <c r="X43" s="4"/>
    </row>
    <row r="44" spans="1:24" x14ac:dyDescent="0.2">
      <c r="A44" s="4"/>
      <c r="B44" s="22">
        <f>IF(Kostenquotenrechner!BA19=TRUE,Kostenquotenrechner!C19,0)</f>
        <v>0</v>
      </c>
      <c r="C44" s="22">
        <f>B44*COUNTIF(Kostenquotenrechner!BB19:BE19,TRUE)</f>
        <v>0</v>
      </c>
      <c r="D44" s="3"/>
      <c r="E44" s="22">
        <f>IF(Kostenquotenrechner!$BA19=TRUE,Kostenquotenrechner!N19+IF(AND(Kostenquotenrechner!$BF19=TRUE,Kostenquotenrechner!$BG19=FALSE,Kostenquotenrechner!$BH19=FALSE,Kostenquotenrechner!$BI19=FALSE),Kostenquotenrechner!$V19,0),0)</f>
        <v>0</v>
      </c>
      <c r="F44" s="22">
        <f>IF(Kostenquotenrechner!$BA19,Kostenquotenrechner!O19+IF(AND(Kostenquotenrechner!$BF19=FALSE,Kostenquotenrechner!$BG19=TRUE,Kostenquotenrechner!$BH19=FALSE,Kostenquotenrechner!$BI19=FALSE),Kostenquotenrechner!$V19,0),0)</f>
        <v>0</v>
      </c>
      <c r="G44" s="22">
        <f>IF(Kostenquotenrechner!$BA19,Kostenquotenrechner!P19+IF(AND(Kostenquotenrechner!$BF19=FALSE,Kostenquotenrechner!$BG19=FALSE,Kostenquotenrechner!$BH19=TRUE,Kostenquotenrechner!$BI19=FALSE),Kostenquotenrechner!$V19,0),0)</f>
        <v>0</v>
      </c>
      <c r="H44" s="22">
        <f>IF(Kostenquotenrechner!$BA19,Kostenquotenrechner!Q19+IF(AND(Kostenquotenrechner!$BF19=FALSE,Kostenquotenrechner!$BG19=FALSE,Kostenquotenrechner!$BH19=FALSE,Kostenquotenrechner!$BI19=TRUE),Kostenquotenrechner!$V19,0),0)</f>
        <v>0</v>
      </c>
      <c r="I44" s="22">
        <f>IF(Kostenquotenrechner!$BA19,IF(AND(Kostenquotenrechner!$BF19=TRUE,Kostenquotenrechner!$BG19=TRUE,Kostenquotenrechner!$BH19=FALSE,Kostenquotenrechner!$BI19=FALSE),Kostenquotenrechner!$V19,0),0)</f>
        <v>0</v>
      </c>
      <c r="J44" s="22">
        <f>IF(Kostenquotenrechner!$BA19,IF(AND(Kostenquotenrechner!$BF19=TRUE,Kostenquotenrechner!$BG19=FALSE,Kostenquotenrechner!$BH19=TRUE,Kostenquotenrechner!$BI19=FALSE),Kostenquotenrechner!$V19,0),0)</f>
        <v>0</v>
      </c>
      <c r="K44" s="22">
        <f>IF(Kostenquotenrechner!$BA19,IF(AND(Kostenquotenrechner!$BF19=TRUE,Kostenquotenrechner!$BG19=FALSE,Kostenquotenrechner!$BH19=FALSE,Kostenquotenrechner!$BI19=TRUE),Kostenquotenrechner!$V19,0),0)</f>
        <v>0</v>
      </c>
      <c r="L44" s="22">
        <f>IF(Kostenquotenrechner!$BA19,IF(AND(Kostenquotenrechner!$BF19=FALSE,Kostenquotenrechner!$BG19=TRUE,Kostenquotenrechner!$BH19=TRUE,Kostenquotenrechner!$BI19=FALSE),Kostenquotenrechner!$V19,0),0)</f>
        <v>0</v>
      </c>
      <c r="M44" s="22">
        <f>IF(Kostenquotenrechner!$BA19,IF(AND(Kostenquotenrechner!$BF19=FALSE,Kostenquotenrechner!$BG19=TRUE,Kostenquotenrechner!$BH19=FALSE,Kostenquotenrechner!$BI19=TRUE),Kostenquotenrechner!$V19,0),0)</f>
        <v>0</v>
      </c>
      <c r="N44" s="22">
        <f>IF(Kostenquotenrechner!$BA19,IF(AND(Kostenquotenrechner!$BF19=FALSE,Kostenquotenrechner!$BG19=FALSE,Kostenquotenrechner!$BH19=TRUE,Kostenquotenrechner!$BI19=TRUE),Kostenquotenrechner!$V19,0),0)</f>
        <v>0</v>
      </c>
      <c r="O44" s="22">
        <f>IF(Kostenquotenrechner!$BA19,IF(AND(Kostenquotenrechner!$BF19=TRUE,Kostenquotenrechner!$BG19=TRUE,Kostenquotenrechner!$BH19=TRUE,Kostenquotenrechner!$BI19=FALSE),Kostenquotenrechner!$V19,0),0)</f>
        <v>0</v>
      </c>
      <c r="P44" s="22">
        <f>IF(Kostenquotenrechner!$BA19,IF(AND(Kostenquotenrechner!$BF19=TRUE,Kostenquotenrechner!$BG19=TRUE,Kostenquotenrechner!$BH19=FALSE,Kostenquotenrechner!$BI19=TRUE),Kostenquotenrechner!$V19,0),0)</f>
        <v>0</v>
      </c>
      <c r="Q44" s="22">
        <f>IF(Kostenquotenrechner!$BA19,IF(AND(Kostenquotenrechner!$BF19=TRUE,Kostenquotenrechner!$BG19=FALSE,Kostenquotenrechner!$BH19=TRUE,Kostenquotenrechner!$BI19=TRUE),Kostenquotenrechner!$V19,0),0)</f>
        <v>0</v>
      </c>
      <c r="R44" s="22">
        <f>IF(Kostenquotenrechner!$BA19,IF(AND(Kostenquotenrechner!$BF19=FALSE,Kostenquotenrechner!$BG19=TRUE,Kostenquotenrechner!$BH19=TRUE,Kostenquotenrechner!$BI19=TRUE),Kostenquotenrechner!$V19,0),0)</f>
        <v>0</v>
      </c>
      <c r="S44" s="22">
        <f>IF(Kostenquotenrechner!$BA19,IF(AND(Kostenquotenrechner!$BF19=TRUE,Kostenquotenrechner!$BG19=TRUE,Kostenquotenrechner!$BH19=TRUE,Kostenquotenrechner!$BI19=TRUE),Kostenquotenrechner!$V19,0),0)</f>
        <v>0</v>
      </c>
      <c r="T44" s="4"/>
      <c r="U44" s="4"/>
      <c r="V44" s="4"/>
      <c r="W44" s="4"/>
      <c r="X44" s="4"/>
    </row>
    <row r="45" spans="1:24" x14ac:dyDescent="0.2">
      <c r="A45" s="4"/>
      <c r="B45" s="22">
        <f>IF(Kostenquotenrechner!BA20=TRUE,Kostenquotenrechner!C20,0)</f>
        <v>0</v>
      </c>
      <c r="C45" s="22">
        <f>B45*COUNTIF(Kostenquotenrechner!BB20:BE20,TRUE)</f>
        <v>0</v>
      </c>
      <c r="D45" s="3"/>
      <c r="E45" s="22">
        <f>IF(Kostenquotenrechner!$BA20=TRUE,Kostenquotenrechner!N20+IF(AND(Kostenquotenrechner!$BF20=TRUE,Kostenquotenrechner!$BG20=FALSE,Kostenquotenrechner!$BH20=FALSE,Kostenquotenrechner!$BI20=FALSE),Kostenquotenrechner!$V20,0),0)</f>
        <v>0</v>
      </c>
      <c r="F45" s="22">
        <f>IF(Kostenquotenrechner!$BA20,Kostenquotenrechner!O20+IF(AND(Kostenquotenrechner!$BF20=FALSE,Kostenquotenrechner!$BG20=TRUE,Kostenquotenrechner!$BH20=FALSE,Kostenquotenrechner!$BI20=FALSE),Kostenquotenrechner!$V20,0),0)</f>
        <v>0</v>
      </c>
      <c r="G45" s="22">
        <f>IF(Kostenquotenrechner!$BA20,Kostenquotenrechner!P20+IF(AND(Kostenquotenrechner!$BF20=FALSE,Kostenquotenrechner!$BG20=FALSE,Kostenquotenrechner!$BH20=TRUE,Kostenquotenrechner!$BI20=FALSE),Kostenquotenrechner!$V20,0),0)</f>
        <v>0</v>
      </c>
      <c r="H45" s="22">
        <f>IF(Kostenquotenrechner!$BA20,Kostenquotenrechner!Q20+IF(AND(Kostenquotenrechner!$BF20=FALSE,Kostenquotenrechner!$BG20=FALSE,Kostenquotenrechner!$BH20=FALSE,Kostenquotenrechner!$BI20=TRUE),Kostenquotenrechner!$V20,0),0)</f>
        <v>0</v>
      </c>
      <c r="I45" s="22">
        <f>IF(Kostenquotenrechner!$BA20,IF(AND(Kostenquotenrechner!$BF20=TRUE,Kostenquotenrechner!$BG20=TRUE,Kostenquotenrechner!$BH20=FALSE,Kostenquotenrechner!$BI20=FALSE),Kostenquotenrechner!$V20,0),0)</f>
        <v>0</v>
      </c>
      <c r="J45" s="22">
        <f>IF(Kostenquotenrechner!$BA20,IF(AND(Kostenquotenrechner!$BF20=TRUE,Kostenquotenrechner!$BG20=FALSE,Kostenquotenrechner!$BH20=TRUE,Kostenquotenrechner!$BI20=FALSE),Kostenquotenrechner!$V20,0),0)</f>
        <v>0</v>
      </c>
      <c r="K45" s="22">
        <f>IF(Kostenquotenrechner!$BA20,IF(AND(Kostenquotenrechner!$BF20=TRUE,Kostenquotenrechner!$BG20=FALSE,Kostenquotenrechner!$BH20=FALSE,Kostenquotenrechner!$BI20=TRUE),Kostenquotenrechner!$V20,0),0)</f>
        <v>0</v>
      </c>
      <c r="L45" s="22">
        <f>IF(Kostenquotenrechner!$BA20,IF(AND(Kostenquotenrechner!$BF20=FALSE,Kostenquotenrechner!$BG20=TRUE,Kostenquotenrechner!$BH20=TRUE,Kostenquotenrechner!$BI20=FALSE),Kostenquotenrechner!$V20,0),0)</f>
        <v>0</v>
      </c>
      <c r="M45" s="22">
        <f>IF(Kostenquotenrechner!$BA20,IF(AND(Kostenquotenrechner!$BF20=FALSE,Kostenquotenrechner!$BG20=TRUE,Kostenquotenrechner!$BH20=FALSE,Kostenquotenrechner!$BI20=TRUE),Kostenquotenrechner!$V20,0),0)</f>
        <v>0</v>
      </c>
      <c r="N45" s="22">
        <f>IF(Kostenquotenrechner!$BA20,IF(AND(Kostenquotenrechner!$BF20=FALSE,Kostenquotenrechner!$BG20=FALSE,Kostenquotenrechner!$BH20=TRUE,Kostenquotenrechner!$BI20=TRUE),Kostenquotenrechner!$V20,0),0)</f>
        <v>0</v>
      </c>
      <c r="O45" s="22">
        <f>IF(Kostenquotenrechner!$BA20,IF(AND(Kostenquotenrechner!$BF20=TRUE,Kostenquotenrechner!$BG20=TRUE,Kostenquotenrechner!$BH20=TRUE,Kostenquotenrechner!$BI20=FALSE),Kostenquotenrechner!$V20,0),0)</f>
        <v>0</v>
      </c>
      <c r="P45" s="22">
        <f>IF(Kostenquotenrechner!$BA20,IF(AND(Kostenquotenrechner!$BF20=TRUE,Kostenquotenrechner!$BG20=TRUE,Kostenquotenrechner!$BH20=FALSE,Kostenquotenrechner!$BI20=TRUE),Kostenquotenrechner!$V20,0),0)</f>
        <v>0</v>
      </c>
      <c r="Q45" s="22">
        <f>IF(Kostenquotenrechner!$BA20,IF(AND(Kostenquotenrechner!$BF20=TRUE,Kostenquotenrechner!$BG20=FALSE,Kostenquotenrechner!$BH20=TRUE,Kostenquotenrechner!$BI20=TRUE),Kostenquotenrechner!$V20,0),0)</f>
        <v>0</v>
      </c>
      <c r="R45" s="22">
        <f>IF(Kostenquotenrechner!$BA20,IF(AND(Kostenquotenrechner!$BF20=FALSE,Kostenquotenrechner!$BG20=TRUE,Kostenquotenrechner!$BH20=TRUE,Kostenquotenrechner!$BI20=TRUE),Kostenquotenrechner!$V20,0),0)</f>
        <v>0</v>
      </c>
      <c r="S45" s="22">
        <f>IF(Kostenquotenrechner!$BA20,IF(AND(Kostenquotenrechner!$BF20=TRUE,Kostenquotenrechner!$BG20=TRUE,Kostenquotenrechner!$BH20=TRUE,Kostenquotenrechner!$BI20=TRUE),Kostenquotenrechner!$V20,0),0)</f>
        <v>0</v>
      </c>
      <c r="T45" s="4"/>
      <c r="U45" s="4"/>
      <c r="V45" s="4"/>
      <c r="W45" s="4"/>
      <c r="X45" s="4"/>
    </row>
    <row r="46" spans="1:24" x14ac:dyDescent="0.2">
      <c r="A46" s="4"/>
      <c r="B46" s="28"/>
      <c r="C46" s="3"/>
      <c r="D46" s="3"/>
      <c r="E46" s="3"/>
      <c r="F46" s="3"/>
      <c r="G46" s="3"/>
      <c r="H46" s="3"/>
      <c r="I46" s="3"/>
      <c r="J46" s="3"/>
      <c r="K46" s="28"/>
      <c r="L46" s="28"/>
      <c r="M46" s="28"/>
      <c r="N46" s="28"/>
      <c r="O46" s="28"/>
      <c r="P46" s="28"/>
      <c r="Q46" s="28"/>
      <c r="R46" s="28"/>
      <c r="S46" s="28"/>
      <c r="T46" s="4"/>
      <c r="U46" s="4"/>
      <c r="V46" s="4"/>
      <c r="W46" s="4"/>
      <c r="X46" s="4"/>
    </row>
    <row r="47" spans="1:24" x14ac:dyDescent="0.2">
      <c r="A47" s="1" t="s">
        <v>606</v>
      </c>
      <c r="B47" s="28"/>
      <c r="C47" s="3"/>
      <c r="D47" s="3"/>
      <c r="E47" s="3"/>
      <c r="F47" s="3"/>
      <c r="G47" s="3"/>
      <c r="H47" s="3"/>
      <c r="I47" s="3"/>
      <c r="J47" s="3"/>
      <c r="K47" s="28"/>
      <c r="L47" s="28"/>
      <c r="M47" s="28"/>
      <c r="N47" s="28"/>
      <c r="O47" s="28"/>
      <c r="P47" s="28"/>
      <c r="Q47" s="28"/>
      <c r="R47" s="28"/>
      <c r="S47" s="28"/>
      <c r="T47" s="4"/>
      <c r="U47" s="4"/>
      <c r="V47" s="4"/>
      <c r="W47" s="4"/>
      <c r="X47" s="4"/>
    </row>
    <row r="48" spans="1:24" x14ac:dyDescent="0.2">
      <c r="A48" s="4" t="s">
        <v>10</v>
      </c>
      <c r="B48" s="28"/>
      <c r="C48" s="3"/>
      <c r="D48" s="3" t="s">
        <v>458</v>
      </c>
      <c r="E48" s="3"/>
      <c r="F48" s="3"/>
      <c r="G48" s="3"/>
      <c r="H48" s="3"/>
      <c r="I48" s="3"/>
      <c r="J48" s="3"/>
      <c r="K48" s="28"/>
      <c r="L48" s="28"/>
      <c r="M48" s="28"/>
      <c r="N48" s="28"/>
      <c r="O48" s="28"/>
      <c r="P48" s="28"/>
      <c r="Q48" s="28"/>
      <c r="R48" s="28"/>
      <c r="S48" s="28"/>
      <c r="T48" s="4"/>
      <c r="U48" s="4"/>
      <c r="V48" s="4"/>
      <c r="W48" s="4"/>
      <c r="X48" s="4"/>
    </row>
    <row r="49" spans="1:19" x14ac:dyDescent="0.2">
      <c r="A49" s="4" t="s">
        <v>459</v>
      </c>
      <c r="B49" s="28"/>
      <c r="C49" s="3"/>
      <c r="D49" s="3" t="s">
        <v>609</v>
      </c>
      <c r="E49" s="3" t="s">
        <v>436</v>
      </c>
      <c r="F49" s="3" t="s">
        <v>437</v>
      </c>
      <c r="G49" s="3" t="s">
        <v>441</v>
      </c>
      <c r="H49" s="3" t="s">
        <v>442</v>
      </c>
      <c r="I49" s="2" t="s">
        <v>443</v>
      </c>
      <c r="J49" s="2" t="s">
        <v>444</v>
      </c>
      <c r="K49" s="2" t="s">
        <v>445</v>
      </c>
      <c r="L49" s="2" t="s">
        <v>446</v>
      </c>
      <c r="M49" s="2" t="s">
        <v>447</v>
      </c>
      <c r="N49" s="2" t="s">
        <v>448</v>
      </c>
      <c r="O49" s="2" t="s">
        <v>449</v>
      </c>
      <c r="P49" s="2" t="s">
        <v>450</v>
      </c>
      <c r="Q49" s="2" t="s">
        <v>451</v>
      </c>
      <c r="R49" s="2" t="s">
        <v>452</v>
      </c>
      <c r="S49" s="2" t="s">
        <v>453</v>
      </c>
    </row>
    <row r="50" spans="1:19" x14ac:dyDescent="0.2">
      <c r="A50" s="4" t="s">
        <v>26</v>
      </c>
      <c r="B50" s="28"/>
      <c r="C50" s="22">
        <f>SUM($C$4:$C$13)</f>
        <v>0</v>
      </c>
      <c r="D50" s="22">
        <f>C50-SUM(E50:S50)</f>
        <v>0</v>
      </c>
      <c r="E50" s="22">
        <f>SUM(E$4:E$13)</f>
        <v>0</v>
      </c>
      <c r="F50" s="22">
        <f>SUM(F$4:F$13)</f>
        <v>0</v>
      </c>
      <c r="G50" s="22">
        <f>SUM(G$4:G$13)</f>
        <v>0</v>
      </c>
      <c r="H50" s="22">
        <f>SUM(H$4:H$13)</f>
        <v>0</v>
      </c>
      <c r="I50" s="22">
        <f t="shared" ref="I50:N50" si="0">SUM(I$4:I$13)*2</f>
        <v>0</v>
      </c>
      <c r="J50" s="22">
        <f t="shared" si="0"/>
        <v>0</v>
      </c>
      <c r="K50" s="22">
        <f t="shared" si="0"/>
        <v>0</v>
      </c>
      <c r="L50" s="22">
        <f t="shared" si="0"/>
        <v>0</v>
      </c>
      <c r="M50" s="22">
        <f t="shared" si="0"/>
        <v>0</v>
      </c>
      <c r="N50" s="22">
        <f t="shared" si="0"/>
        <v>0</v>
      </c>
      <c r="O50" s="22">
        <f>SUM(O$4:O$13)*3</f>
        <v>0</v>
      </c>
      <c r="P50" s="22">
        <f>SUM(P$4:P$13)*3</f>
        <v>0</v>
      </c>
      <c r="Q50" s="22">
        <f>SUM(Q$4:Q$13)*3</f>
        <v>0</v>
      </c>
      <c r="R50" s="22">
        <f>SUM(R$4:R$13)*3</f>
        <v>0</v>
      </c>
      <c r="S50" s="22">
        <f>SUM(S$4:S$13)*4</f>
        <v>0</v>
      </c>
    </row>
    <row r="51" spans="1:19" x14ac:dyDescent="0.2">
      <c r="A51" s="4" t="s">
        <v>454</v>
      </c>
      <c r="B51" s="28"/>
      <c r="C51" s="22">
        <f>SUMIF(Kostenquotenrechner!AX$6:AX$15,TRUE,B$4:B$13)</f>
        <v>0</v>
      </c>
      <c r="D51" s="22">
        <f>C51-E51</f>
        <v>0</v>
      </c>
      <c r="E51" s="22">
        <f>SUM(E$4:E$13,I$4:I$13,J$4:J$13,K$4:K$13,O$4:O$13,P$4:P$13,Q$4:Q$13,S$4:S$13)</f>
        <v>0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</row>
    <row r="52" spans="1:19" x14ac:dyDescent="0.2">
      <c r="A52" s="4" t="s">
        <v>455</v>
      </c>
      <c r="B52" s="28"/>
      <c r="C52" s="22">
        <f>SUMIF(Kostenquotenrechner!AY$6:AY$15,TRUE,B$4:B$13)</f>
        <v>0</v>
      </c>
      <c r="D52" s="22">
        <f>C52-F52</f>
        <v>0</v>
      </c>
      <c r="F52" s="22">
        <f>SUM(F$4:F$13,I$4:I$13,L$4:L$13,M$4:M$13,O$4:O$13,P$4:P$13,R$4:R$13,S$4:S$13)</f>
        <v>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1:19" x14ac:dyDescent="0.2">
      <c r="A53" s="4" t="s">
        <v>456</v>
      </c>
      <c r="B53" s="28"/>
      <c r="C53" s="22">
        <f>SUMIF(Kostenquotenrechner!AZ$6:AZ$15,TRUE,B$4:B$13)</f>
        <v>0</v>
      </c>
      <c r="D53" s="22">
        <f>C53-G53</f>
        <v>0</v>
      </c>
      <c r="G53" s="22">
        <f>SUM(G$4:G$13,J$4:J$13,L$4:L$13,N$4:N$13,O$4:O$13,Q$4:Q$13,R$4:R$13,S$4:S$13)</f>
        <v>0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:19" x14ac:dyDescent="0.2">
      <c r="A54" s="4" t="s">
        <v>457</v>
      </c>
      <c r="B54" s="28"/>
      <c r="C54" s="22">
        <f>SUMIF(Kostenquotenrechner!BA$6:BA$15,TRUE,B$4:B$13)</f>
        <v>0</v>
      </c>
      <c r="D54" s="22">
        <f>C54-H54</f>
        <v>0</v>
      </c>
      <c r="H54" s="22">
        <f>SUM(H$4:H$13,K$4:K$13,M$4:M$13,N$4:N$13,P$4:P$13,Q$4:Q$13,R$4:R$13,S$4:S$13)</f>
        <v>0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:19" x14ac:dyDescent="0.2">
      <c r="A55" s="4" t="s">
        <v>12</v>
      </c>
      <c r="B55" s="28"/>
      <c r="C55" s="3"/>
      <c r="D55" s="3" t="s">
        <v>458</v>
      </c>
      <c r="E55" s="3"/>
      <c r="F55" s="3"/>
      <c r="G55" s="3"/>
      <c r="H55" s="3"/>
      <c r="I55" s="3"/>
      <c r="J55" s="3"/>
      <c r="K55" s="28"/>
      <c r="L55" s="28"/>
      <c r="M55" s="28"/>
      <c r="N55" s="28"/>
      <c r="O55" s="28"/>
      <c r="P55" s="28"/>
      <c r="Q55" s="28"/>
      <c r="R55" s="28"/>
      <c r="S55" s="28"/>
    </row>
    <row r="56" spans="1:19" x14ac:dyDescent="0.2">
      <c r="A56" s="4" t="s">
        <v>459</v>
      </c>
      <c r="B56" s="28"/>
      <c r="C56" s="3"/>
      <c r="D56" s="3" t="s">
        <v>610</v>
      </c>
      <c r="E56" s="3" t="s">
        <v>436</v>
      </c>
      <c r="F56" s="3" t="s">
        <v>437</v>
      </c>
      <c r="G56" s="3" t="s">
        <v>441</v>
      </c>
      <c r="H56" s="3" t="s">
        <v>442</v>
      </c>
      <c r="I56" s="2" t="s">
        <v>443</v>
      </c>
      <c r="J56" s="2" t="s">
        <v>444</v>
      </c>
      <c r="K56" s="2" t="s">
        <v>445</v>
      </c>
      <c r="L56" s="2" t="s">
        <v>446</v>
      </c>
      <c r="M56" s="2" t="s">
        <v>447</v>
      </c>
      <c r="N56" s="2" t="s">
        <v>448</v>
      </c>
      <c r="O56" s="2" t="s">
        <v>449</v>
      </c>
      <c r="P56" s="2" t="s">
        <v>450</v>
      </c>
      <c r="Q56" s="2" t="s">
        <v>451</v>
      </c>
      <c r="R56" s="2" t="s">
        <v>452</v>
      </c>
      <c r="S56" s="2" t="s">
        <v>453</v>
      </c>
    </row>
    <row r="57" spans="1:19" x14ac:dyDescent="0.2">
      <c r="A57" s="4" t="s">
        <v>25</v>
      </c>
      <c r="B57" s="28"/>
      <c r="C57" s="22">
        <f>SUM($C$16:$C$25)</f>
        <v>0</v>
      </c>
      <c r="D57" s="22">
        <f>C57-SUM(E57:S57)</f>
        <v>0</v>
      </c>
      <c r="E57" s="22">
        <f>SUM(E$16:E$25)</f>
        <v>0</v>
      </c>
      <c r="F57" s="22">
        <f>SUM(F$16:F$25)</f>
        <v>0</v>
      </c>
      <c r="G57" s="22">
        <f>SUM(G$16:G$25)</f>
        <v>0</v>
      </c>
      <c r="H57" s="22">
        <f>SUM(H$16:H$25)</f>
        <v>0</v>
      </c>
      <c r="I57" s="22">
        <f t="shared" ref="I57:N57" si="1">SUM(I$16:I$25)*2</f>
        <v>0</v>
      </c>
      <c r="J57" s="22">
        <f t="shared" si="1"/>
        <v>0</v>
      </c>
      <c r="K57" s="22">
        <f t="shared" si="1"/>
        <v>0</v>
      </c>
      <c r="L57" s="22">
        <f t="shared" si="1"/>
        <v>0</v>
      </c>
      <c r="M57" s="22">
        <f t="shared" si="1"/>
        <v>0</v>
      </c>
      <c r="N57" s="22">
        <f t="shared" si="1"/>
        <v>0</v>
      </c>
      <c r="O57" s="22">
        <f>SUM(O$16:O$25)*3</f>
        <v>0</v>
      </c>
      <c r="P57" s="22">
        <f>SUM(P$16:P$25)*3</f>
        <v>0</v>
      </c>
      <c r="Q57" s="22">
        <f>SUM(Q$16:Q$25)*3</f>
        <v>0</v>
      </c>
      <c r="R57" s="22">
        <f>SUM(R$16:R$25)*3</f>
        <v>0</v>
      </c>
      <c r="S57" s="22">
        <f>SUM(S$16:S$25)*4</f>
        <v>0</v>
      </c>
    </row>
    <row r="58" spans="1:19" x14ac:dyDescent="0.2">
      <c r="A58" s="4" t="s">
        <v>454</v>
      </c>
      <c r="B58" s="28"/>
      <c r="C58" s="22">
        <f>SUMIF(Kostenquotenrechner!AX$6:AX$15,TRUE,B$16:B$25)</f>
        <v>0</v>
      </c>
      <c r="D58" s="22">
        <f>C58-E58</f>
        <v>0</v>
      </c>
      <c r="E58" s="22">
        <f>SUM(E$16:E$25,I$16:I$25,J$16:J$25,K$16:K$25,O$16:O$25,P$16:P$25,Q$16:Q$25,S$16:S$25)</f>
        <v>0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 x14ac:dyDescent="0.2">
      <c r="A59" s="4" t="s">
        <v>455</v>
      </c>
      <c r="B59" s="28"/>
      <c r="C59" s="22">
        <f>SUMIF(Kostenquotenrechner!AY$6:AY$15,TRUE,B$16:B$25)</f>
        <v>0</v>
      </c>
      <c r="D59" s="22">
        <f>C59-F59</f>
        <v>0</v>
      </c>
      <c r="F59" s="22">
        <f>SUM(F$16:F$25,I$16:I$25,L$16:L$25,M$16:M$25,O$16:O$25,P$16:P$25,R$16:R$25,S$16:S$25)</f>
        <v>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:19" x14ac:dyDescent="0.2">
      <c r="A60" s="4" t="s">
        <v>456</v>
      </c>
      <c r="B60" s="28"/>
      <c r="C60" s="22">
        <f>SUMIF(Kostenquotenrechner!AZ$6:AZ$15,TRUE,B$16:B$25)</f>
        <v>0</v>
      </c>
      <c r="D60" s="22">
        <f>C60-G60</f>
        <v>0</v>
      </c>
      <c r="G60" s="22">
        <f>SUM(G$16:G$25,J$16:J$25,L$16:L$25,N$16:N$25,O$16:O$25,Q$16:Q$25,R$16:R$25,S$16:S$25)</f>
        <v>0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:19" x14ac:dyDescent="0.2">
      <c r="A61" s="4" t="s">
        <v>457</v>
      </c>
      <c r="B61" s="28"/>
      <c r="C61" s="22">
        <f>SUMIF(Kostenquotenrechner!BA$6:BA$15,TRUE,B$16:B$25)</f>
        <v>0</v>
      </c>
      <c r="D61" s="22">
        <f>C61-H61</f>
        <v>0</v>
      </c>
      <c r="H61" s="22">
        <f>SUM(H$16:H$25,K$16:K$25,M$16:M$25,N$16:N$25,P$16:P$25,Q$16:Q$25,R$16:R$25,S$16:S$25)</f>
        <v>0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19" x14ac:dyDescent="0.2">
      <c r="A62" s="4" t="s">
        <v>594</v>
      </c>
      <c r="B62" s="28"/>
      <c r="C62" s="3"/>
      <c r="D62" s="3" t="s">
        <v>458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">
      <c r="A63" s="4" t="s">
        <v>459</v>
      </c>
      <c r="B63" s="28"/>
      <c r="C63" s="3"/>
      <c r="D63" s="3" t="s">
        <v>436</v>
      </c>
      <c r="E63" s="3" t="s">
        <v>609</v>
      </c>
      <c r="F63" s="2" t="s">
        <v>610</v>
      </c>
      <c r="G63" s="3" t="s">
        <v>4</v>
      </c>
      <c r="H63" s="2" t="s">
        <v>8</v>
      </c>
      <c r="I63" s="2" t="s">
        <v>15</v>
      </c>
      <c r="J63" s="3" t="s">
        <v>14</v>
      </c>
      <c r="K63" s="28" t="s">
        <v>16</v>
      </c>
      <c r="L63" s="28" t="s">
        <v>17</v>
      </c>
      <c r="M63" s="28" t="s">
        <v>18</v>
      </c>
      <c r="N63" s="28" t="s">
        <v>23</v>
      </c>
      <c r="O63" s="28" t="s">
        <v>19</v>
      </c>
      <c r="P63" s="28" t="s">
        <v>20</v>
      </c>
      <c r="Q63" s="28" t="s">
        <v>21</v>
      </c>
      <c r="R63" s="28" t="s">
        <v>22</v>
      </c>
      <c r="S63" s="28" t="s">
        <v>24</v>
      </c>
    </row>
    <row r="64" spans="1:19" x14ac:dyDescent="0.2">
      <c r="A64" s="4" t="s">
        <v>602</v>
      </c>
      <c r="B64" s="28"/>
      <c r="C64" s="22">
        <f>SUM($C$28:$C$30)</f>
        <v>0</v>
      </c>
      <c r="D64" s="22">
        <f>C64-SUM(E64:S64)</f>
        <v>0</v>
      </c>
      <c r="E64" s="22">
        <f>SUM(E$28:E$30)</f>
        <v>0</v>
      </c>
      <c r="F64" s="22">
        <f>SUM(F$28:F$30)</f>
        <v>0</v>
      </c>
      <c r="G64" s="22">
        <f>SUM(G$28:G$30)</f>
        <v>0</v>
      </c>
      <c r="H64" s="22">
        <f>SUM(H$28:H$30)</f>
        <v>0</v>
      </c>
      <c r="I64" s="22">
        <f t="shared" ref="I64:N64" si="2">SUM(I$28:I$30)*2</f>
        <v>0</v>
      </c>
      <c r="J64" s="22">
        <f t="shared" si="2"/>
        <v>0</v>
      </c>
      <c r="K64" s="22">
        <f t="shared" si="2"/>
        <v>0</v>
      </c>
      <c r="L64" s="22">
        <f t="shared" si="2"/>
        <v>0</v>
      </c>
      <c r="M64" s="22">
        <f t="shared" si="2"/>
        <v>0</v>
      </c>
      <c r="N64" s="22">
        <f t="shared" si="2"/>
        <v>0</v>
      </c>
      <c r="O64" s="22">
        <f>SUM(O$28:O$30)*3</f>
        <v>0</v>
      </c>
      <c r="P64" s="22">
        <f>SUM(P$28:P$30)*3</f>
        <v>0</v>
      </c>
      <c r="Q64" s="22">
        <f>SUM(Q$28:Q$30)*3</f>
        <v>0</v>
      </c>
      <c r="R64" s="22">
        <f>SUM(R$28:R$30)*3</f>
        <v>0</v>
      </c>
      <c r="S64" s="22">
        <f>SUM(S$28:S$30)*4</f>
        <v>0</v>
      </c>
    </row>
    <row r="65" spans="1:19" x14ac:dyDescent="0.2">
      <c r="A65" s="4" t="s">
        <v>27</v>
      </c>
      <c r="B65" s="28"/>
      <c r="C65" s="22">
        <f>SUMIF(Kostenquotenrechner!BB$18:BB$20,TRUE,B$28:B$30)</f>
        <v>0</v>
      </c>
      <c r="D65" s="22">
        <f>C65-E65</f>
        <v>0</v>
      </c>
      <c r="E65" s="22">
        <f>SUM(E$28:E$30,I$28:I$30,J$28:J$30,K$28:K$30,O$28:O$30,P$28:P$30,Q$28:Q$30,S$28:S$30)</f>
        <v>0</v>
      </c>
      <c r="G65" s="22"/>
      <c r="J65" s="22"/>
      <c r="K65" s="3"/>
      <c r="L65" s="3"/>
      <c r="P65" s="3"/>
      <c r="Q65" s="3"/>
      <c r="R65" s="3"/>
      <c r="S65" s="3"/>
    </row>
    <row r="66" spans="1:19" x14ac:dyDescent="0.2">
      <c r="A66" s="4" t="s">
        <v>34</v>
      </c>
      <c r="B66" s="28"/>
      <c r="C66" s="22">
        <f>SUMIF(Kostenquotenrechner!BC$18:BC$20,TRUE,B$28:B$30)</f>
        <v>0</v>
      </c>
      <c r="D66" s="22">
        <f>C66-F66</f>
        <v>0</v>
      </c>
      <c r="E66" s="22"/>
      <c r="F66" s="22">
        <f>SUM(F$28:F$30,I$28:I$30,L$28:L$30,M$28:M$30,O$28:O$30,P$28:P$30,R$28:R$30,S$28:S$30)</f>
        <v>0</v>
      </c>
      <c r="G66" s="22"/>
      <c r="H66" s="22"/>
      <c r="J66" s="22"/>
      <c r="K66" s="3"/>
      <c r="L66" s="3"/>
      <c r="P66" s="3"/>
      <c r="Q66" s="3"/>
      <c r="R66" s="3"/>
      <c r="S66" s="3"/>
    </row>
    <row r="67" spans="1:19" x14ac:dyDescent="0.2">
      <c r="A67" s="4" t="s">
        <v>35</v>
      </c>
      <c r="B67" s="28"/>
      <c r="C67" s="22">
        <f>SUMIF(Kostenquotenrechner!BD$18:BD$20,TRUE,B$28:B$30)</f>
        <v>0</v>
      </c>
      <c r="D67" s="22">
        <f>C67-G67</f>
        <v>0</v>
      </c>
      <c r="E67" s="22"/>
      <c r="G67" s="22">
        <f>SUM(G$28:G$30,J$28:J$30,L$28:L$30,N$28:N$30,O$28:O$30,Q$28:Q$30,R$28:R$30,S$28:S$30)</f>
        <v>0</v>
      </c>
      <c r="H67" s="22"/>
      <c r="J67" s="22"/>
      <c r="K67" s="3"/>
      <c r="L67" s="3"/>
      <c r="P67" s="3"/>
      <c r="Q67" s="3"/>
      <c r="R67" s="3"/>
      <c r="S67" s="3"/>
    </row>
    <row r="68" spans="1:19" x14ac:dyDescent="0.2">
      <c r="A68" s="4" t="s">
        <v>36</v>
      </c>
      <c r="B68" s="28"/>
      <c r="C68" s="22">
        <f>SUMIF(Kostenquotenrechner!BE$18:BE$20,TRUE,B$28:B$30)</f>
        <v>0</v>
      </c>
      <c r="D68" s="22">
        <f>C68-H68</f>
        <v>0</v>
      </c>
      <c r="E68" s="22"/>
      <c r="H68" s="22">
        <f>SUM(H$28:H$30,K$28:K$30,M$28:M$30,N$28:N$30,P$28:P$30,Q$28:Q$30,R$28:R$30,S$28:S$30)</f>
        <v>0</v>
      </c>
      <c r="J68" s="22"/>
      <c r="K68" s="3"/>
      <c r="L68" s="3"/>
      <c r="P68" s="3"/>
      <c r="Q68" s="3"/>
      <c r="R68" s="3"/>
      <c r="S68" s="3"/>
    </row>
    <row r="69" spans="1:19" x14ac:dyDescent="0.2">
      <c r="A69" s="4" t="s">
        <v>596</v>
      </c>
      <c r="B69" s="28"/>
      <c r="C69" s="3"/>
      <c r="D69" s="3"/>
      <c r="E69" s="3" t="s">
        <v>458</v>
      </c>
      <c r="G69" s="3"/>
      <c r="J69" s="3"/>
      <c r="K69" s="3"/>
      <c r="L69" s="3"/>
      <c r="P69" s="3"/>
      <c r="Q69" s="3"/>
      <c r="R69" s="3"/>
      <c r="S69" s="3"/>
    </row>
    <row r="70" spans="1:19" x14ac:dyDescent="0.2">
      <c r="A70" s="4" t="s">
        <v>459</v>
      </c>
      <c r="B70" s="28"/>
      <c r="C70" s="3"/>
      <c r="D70" s="3" t="s">
        <v>437</v>
      </c>
      <c r="E70" s="3" t="s">
        <v>609</v>
      </c>
      <c r="F70" s="2" t="s">
        <v>610</v>
      </c>
      <c r="G70" s="3" t="s">
        <v>4</v>
      </c>
      <c r="H70" s="2" t="s">
        <v>8</v>
      </c>
      <c r="I70" s="2" t="s">
        <v>15</v>
      </c>
      <c r="J70" s="3" t="s">
        <v>14</v>
      </c>
      <c r="K70" s="28" t="s">
        <v>16</v>
      </c>
      <c r="L70" s="28" t="s">
        <v>17</v>
      </c>
      <c r="M70" s="28" t="s">
        <v>18</v>
      </c>
      <c r="N70" s="28" t="s">
        <v>23</v>
      </c>
      <c r="O70" s="28" t="s">
        <v>19</v>
      </c>
      <c r="P70" s="28" t="s">
        <v>20</v>
      </c>
      <c r="Q70" s="28" t="s">
        <v>21</v>
      </c>
      <c r="R70" s="28" t="s">
        <v>22</v>
      </c>
      <c r="S70" s="28" t="s">
        <v>24</v>
      </c>
    </row>
    <row r="71" spans="1:19" x14ac:dyDescent="0.2">
      <c r="A71" s="4" t="s">
        <v>603</v>
      </c>
      <c r="B71" s="28"/>
      <c r="C71" s="22">
        <f>SUM($C$33:$C$35)</f>
        <v>0</v>
      </c>
      <c r="D71" s="22">
        <f>C71-SUM(E71:S71)</f>
        <v>0</v>
      </c>
      <c r="E71" s="22">
        <f>SUM(E$33:E$35)</f>
        <v>0</v>
      </c>
      <c r="F71" s="22">
        <f>SUM(F$33:F$35)</f>
        <v>0</v>
      </c>
      <c r="G71" s="22">
        <f>SUM(G$33:G$35)</f>
        <v>0</v>
      </c>
      <c r="H71" s="22">
        <f>SUM(H$33:H$35)</f>
        <v>0</v>
      </c>
      <c r="I71" s="22">
        <f t="shared" ref="I71:N71" si="3">SUM(I$33:I$35)*2</f>
        <v>0</v>
      </c>
      <c r="J71" s="22">
        <f t="shared" si="3"/>
        <v>0</v>
      </c>
      <c r="K71" s="22">
        <f t="shared" si="3"/>
        <v>0</v>
      </c>
      <c r="L71" s="22">
        <f t="shared" si="3"/>
        <v>0</v>
      </c>
      <c r="M71" s="22">
        <f t="shared" si="3"/>
        <v>0</v>
      </c>
      <c r="N71" s="22">
        <f t="shared" si="3"/>
        <v>0</v>
      </c>
      <c r="O71" s="22">
        <f>SUM(O$33:O$35)*3</f>
        <v>0</v>
      </c>
      <c r="P71" s="22">
        <f>SUM(P$33:P$35)*3</f>
        <v>0</v>
      </c>
      <c r="Q71" s="22">
        <f>SUM(Q$33:Q$35)*3</f>
        <v>0</v>
      </c>
      <c r="R71" s="22">
        <f>SUM(R$33:R$35)*3</f>
        <v>0</v>
      </c>
      <c r="S71" s="22">
        <f>SUM(S$33:S$35)*4</f>
        <v>0</v>
      </c>
    </row>
    <row r="72" spans="1:19" x14ac:dyDescent="0.2">
      <c r="A72" s="4" t="s">
        <v>27</v>
      </c>
      <c r="B72" s="28"/>
      <c r="C72" s="22">
        <f>SUMIF(Kostenquotenrechner!BB$18:BB$20,TRUE,B$33:B$35)</f>
        <v>0</v>
      </c>
      <c r="D72" s="22">
        <f>C72-E72</f>
        <v>0</v>
      </c>
      <c r="E72" s="22">
        <f>SUM(E$33:E$35,I$33:I$35,J$33:J$35,K$33:K$35,O$33:O$35,P$33:P$35,Q$33:Q$35,S$33:S$35)</f>
        <v>0</v>
      </c>
      <c r="G72" s="22"/>
      <c r="J72" s="22"/>
      <c r="K72" s="3"/>
      <c r="L72" s="3"/>
      <c r="P72" s="3"/>
      <c r="Q72" s="3"/>
      <c r="R72" s="3"/>
      <c r="S72" s="3"/>
    </row>
    <row r="73" spans="1:19" x14ac:dyDescent="0.2">
      <c r="A73" s="4" t="s">
        <v>34</v>
      </c>
      <c r="B73" s="28"/>
      <c r="C73" s="22">
        <f>SUMIF(Kostenquotenrechner!BC$18:BC$20,TRUE,B$33:B$35)</f>
        <v>0</v>
      </c>
      <c r="D73" s="22">
        <f>C73-F73</f>
        <v>0</v>
      </c>
      <c r="E73" s="22"/>
      <c r="F73" s="22">
        <f>SUM(F$33:F$35,I$33:I$35,L$33:L$35,M$33:M$35,O$33:O$35,P$33:P$35,R$33:R$35,S$33:S$35)</f>
        <v>0</v>
      </c>
      <c r="G73" s="22"/>
      <c r="H73" s="22"/>
      <c r="J73" s="22"/>
      <c r="K73" s="3"/>
      <c r="L73" s="3"/>
      <c r="P73" s="3"/>
      <c r="Q73" s="3"/>
      <c r="R73" s="3"/>
      <c r="S73" s="3"/>
    </row>
    <row r="74" spans="1:19" x14ac:dyDescent="0.2">
      <c r="A74" s="4" t="s">
        <v>35</v>
      </c>
      <c r="B74" s="28"/>
      <c r="C74" s="22">
        <f>SUMIF(Kostenquotenrechner!BD$18:BD$20,TRUE,B$33:B$35)</f>
        <v>0</v>
      </c>
      <c r="D74" s="22">
        <f>C74-G74</f>
        <v>0</v>
      </c>
      <c r="E74" s="22"/>
      <c r="G74" s="22">
        <f>SUM(G$33:G$35,J$33:J$35,L$33:L$35,N$33:N$35,O$33:O$35,Q$33:Q$35,R$33:R$35,S$33:S$35)</f>
        <v>0</v>
      </c>
      <c r="H74" s="22"/>
      <c r="J74" s="22"/>
      <c r="K74" s="3"/>
      <c r="L74" s="3"/>
      <c r="P74" s="3"/>
      <c r="Q74" s="3"/>
      <c r="R74" s="3"/>
      <c r="S74" s="3"/>
    </row>
    <row r="75" spans="1:19" x14ac:dyDescent="0.2">
      <c r="A75" s="4" t="s">
        <v>36</v>
      </c>
      <c r="B75" s="28"/>
      <c r="C75" s="22">
        <f>SUMIF(Kostenquotenrechner!BE$18:BE$20,TRUE,B$33:B$35)</f>
        <v>0</v>
      </c>
      <c r="D75" s="22">
        <f>C75-H75</f>
        <v>0</v>
      </c>
      <c r="E75" s="22"/>
      <c r="H75" s="22">
        <f>SUM(H$33:H$35,K$33:K$35,M$33:M$35,N$33:N$35,P$33:P$35,Q$33:Q$35,R$33:R$35,S$33:S$35)</f>
        <v>0</v>
      </c>
      <c r="J75" s="22"/>
      <c r="K75" s="3"/>
      <c r="L75" s="3"/>
      <c r="P75" s="3"/>
      <c r="Q75" s="3"/>
      <c r="R75" s="3"/>
      <c r="S75" s="3"/>
    </row>
    <row r="76" spans="1:19" x14ac:dyDescent="0.2">
      <c r="A76" s="4" t="s">
        <v>601</v>
      </c>
      <c r="B76" s="28"/>
      <c r="C76" s="3"/>
      <c r="D76" s="3"/>
      <c r="E76" s="3" t="s">
        <v>458</v>
      </c>
      <c r="G76" s="3"/>
      <c r="J76" s="3"/>
      <c r="K76" s="3"/>
      <c r="L76" s="3"/>
      <c r="P76" s="3"/>
      <c r="Q76" s="3"/>
      <c r="R76" s="3"/>
      <c r="S76" s="3"/>
    </row>
    <row r="77" spans="1:19" x14ac:dyDescent="0.2">
      <c r="A77" s="4" t="s">
        <v>459</v>
      </c>
      <c r="B77" s="28"/>
      <c r="C77" s="3"/>
      <c r="D77" s="3" t="s">
        <v>441</v>
      </c>
      <c r="E77" s="3" t="s">
        <v>609</v>
      </c>
      <c r="F77" s="2" t="s">
        <v>610</v>
      </c>
      <c r="G77" s="3" t="s">
        <v>4</v>
      </c>
      <c r="H77" s="2" t="s">
        <v>8</v>
      </c>
      <c r="I77" s="2" t="s">
        <v>15</v>
      </c>
      <c r="J77" s="3" t="s">
        <v>14</v>
      </c>
      <c r="K77" s="28" t="s">
        <v>16</v>
      </c>
      <c r="L77" s="28" t="s">
        <v>17</v>
      </c>
      <c r="M77" s="28" t="s">
        <v>18</v>
      </c>
      <c r="N77" s="28" t="s">
        <v>23</v>
      </c>
      <c r="O77" s="28" t="s">
        <v>19</v>
      </c>
      <c r="P77" s="28" t="s">
        <v>20</v>
      </c>
      <c r="Q77" s="28" t="s">
        <v>21</v>
      </c>
      <c r="R77" s="28" t="s">
        <v>22</v>
      </c>
      <c r="S77" s="28" t="s">
        <v>24</v>
      </c>
    </row>
    <row r="78" spans="1:19" x14ac:dyDescent="0.2">
      <c r="A78" s="4" t="s">
        <v>604</v>
      </c>
      <c r="B78" s="28"/>
      <c r="C78" s="22">
        <f>SUM($C$38:$C$40)</f>
        <v>0</v>
      </c>
      <c r="D78" s="22">
        <f>C78-SUM(E78:S78)</f>
        <v>0</v>
      </c>
      <c r="E78" s="22">
        <f>SUM(E$38:E$40)</f>
        <v>0</v>
      </c>
      <c r="F78" s="22">
        <f>SUM(F$38:F$40)</f>
        <v>0</v>
      </c>
      <c r="G78" s="22">
        <f>SUM(G$38:G$40)</f>
        <v>0</v>
      </c>
      <c r="H78" s="22">
        <f>SUM(H$38:H$40)</f>
        <v>0</v>
      </c>
      <c r="I78" s="22">
        <f t="shared" ref="I78:N78" si="4">SUM(I$38:I$40)*2</f>
        <v>0</v>
      </c>
      <c r="J78" s="22">
        <f t="shared" si="4"/>
        <v>0</v>
      </c>
      <c r="K78" s="22">
        <f t="shared" si="4"/>
        <v>0</v>
      </c>
      <c r="L78" s="22">
        <f t="shared" si="4"/>
        <v>0</v>
      </c>
      <c r="M78" s="22">
        <f t="shared" si="4"/>
        <v>0</v>
      </c>
      <c r="N78" s="22">
        <f t="shared" si="4"/>
        <v>0</v>
      </c>
      <c r="O78" s="22">
        <f>SUM(O$38:O$40)*3</f>
        <v>0</v>
      </c>
      <c r="P78" s="22">
        <f>SUM(P$38:P$40)*3</f>
        <v>0</v>
      </c>
      <c r="Q78" s="22">
        <f>SUM(Q$38:Q$40)*3</f>
        <v>0</v>
      </c>
      <c r="R78" s="22">
        <f>SUM(R$38:R$40)*3</f>
        <v>0</v>
      </c>
      <c r="S78" s="22">
        <f>SUM(S$38:S$40)*4</f>
        <v>0</v>
      </c>
    </row>
    <row r="79" spans="1:19" x14ac:dyDescent="0.2">
      <c r="A79" s="4" t="s">
        <v>27</v>
      </c>
      <c r="B79" s="28"/>
      <c r="C79" s="22">
        <f>SUMIF(Kostenquotenrechner!BB$18:BB$20,TRUE,B$38:B$40)</f>
        <v>0</v>
      </c>
      <c r="D79" s="22">
        <f>C79-E79</f>
        <v>0</v>
      </c>
      <c r="E79" s="22">
        <f>SUM(E$38:E$40,I$38:I$40,J$38:J$40,K$38:K$40,O$38:O$40,P$38:P$40,Q$38:Q$40,S$38:S$40)</f>
        <v>0</v>
      </c>
      <c r="G79" s="22"/>
      <c r="J79" s="22"/>
      <c r="K79" s="3"/>
      <c r="L79" s="3"/>
      <c r="P79" s="3"/>
      <c r="Q79" s="3"/>
      <c r="R79" s="3"/>
      <c r="S79" s="3"/>
    </row>
    <row r="80" spans="1:19" x14ac:dyDescent="0.2">
      <c r="A80" s="4" t="s">
        <v>34</v>
      </c>
      <c r="B80" s="28"/>
      <c r="C80" s="22">
        <f>SUMIF(Kostenquotenrechner!BC$18:BC$20,TRUE,B$38:B$40)</f>
        <v>0</v>
      </c>
      <c r="D80" s="22">
        <f>C80-F80</f>
        <v>0</v>
      </c>
      <c r="E80" s="22"/>
      <c r="F80" s="22">
        <f>SUM(F$38:F$40,I$38:I$40,L$38:L$40,M$38:M$40,O$38:O$40,P$38:P$40,R$38:R$40,S$38:S$40)</f>
        <v>0</v>
      </c>
      <c r="G80" s="22"/>
      <c r="H80" s="22"/>
      <c r="J80" s="22"/>
      <c r="K80" s="3"/>
      <c r="L80" s="3"/>
      <c r="P80" s="3"/>
      <c r="Q80" s="3"/>
      <c r="R80" s="3"/>
      <c r="S80" s="3"/>
    </row>
    <row r="81" spans="1:34" x14ac:dyDescent="0.2">
      <c r="A81" s="4" t="s">
        <v>35</v>
      </c>
      <c r="B81" s="28"/>
      <c r="C81" s="22">
        <f>SUMIF(Kostenquotenrechner!BD$18:BD$20,TRUE,B$38:B$40)</f>
        <v>0</v>
      </c>
      <c r="D81" s="22">
        <f>C81-G81</f>
        <v>0</v>
      </c>
      <c r="E81" s="22"/>
      <c r="G81" s="22">
        <f>SUM(G$38:G$40,J$38:J$40,L$38:L$40,N$38:N$40,O$38:O$40,Q$38:Q$40,R$38:R$40,S$38:S$40)</f>
        <v>0</v>
      </c>
      <c r="H81" s="22"/>
      <c r="J81" s="22"/>
      <c r="K81" s="3"/>
      <c r="L81" s="3"/>
      <c r="P81" s="3"/>
      <c r="Q81" s="3"/>
      <c r="R81" s="3"/>
      <c r="S81" s="3"/>
    </row>
    <row r="82" spans="1:34" x14ac:dyDescent="0.2">
      <c r="A82" s="4" t="s">
        <v>36</v>
      </c>
      <c r="B82" s="28"/>
      <c r="C82" s="22">
        <f>SUMIF(Kostenquotenrechner!BE$18:BE$20,TRUE,B$38:B$40)</f>
        <v>0</v>
      </c>
      <c r="D82" s="22">
        <f>C82-H82</f>
        <v>0</v>
      </c>
      <c r="E82" s="22"/>
      <c r="H82" s="22">
        <f>SUM(H$38:H$40,K$38:K$40,M$38:M$40,N$38:N$40,P$38:P$40,Q$38:Q$40,R$38:R$40,S$38:S$40)</f>
        <v>0</v>
      </c>
      <c r="J82" s="22"/>
      <c r="K82" s="3"/>
      <c r="L82" s="3"/>
      <c r="P82" s="3"/>
      <c r="Q82" s="3"/>
      <c r="R82" s="3"/>
      <c r="S82" s="3"/>
    </row>
    <row r="83" spans="1:34" x14ac:dyDescent="0.2">
      <c r="A83" s="4" t="s">
        <v>597</v>
      </c>
      <c r="B83" s="28"/>
      <c r="C83" s="3"/>
      <c r="D83" s="3"/>
      <c r="E83" s="3" t="s">
        <v>458</v>
      </c>
      <c r="G83" s="3"/>
      <c r="J83" s="3"/>
      <c r="K83" s="3"/>
      <c r="L83" s="3"/>
      <c r="P83" s="3"/>
      <c r="Q83" s="3"/>
      <c r="R83" s="3"/>
      <c r="S83" s="3"/>
    </row>
    <row r="84" spans="1:34" x14ac:dyDescent="0.2">
      <c r="A84" s="4" t="s">
        <v>459</v>
      </c>
      <c r="B84" s="28"/>
      <c r="C84" s="3"/>
      <c r="D84" s="3" t="s">
        <v>442</v>
      </c>
      <c r="E84" s="3" t="s">
        <v>609</v>
      </c>
      <c r="F84" s="2" t="s">
        <v>610</v>
      </c>
      <c r="G84" s="3" t="s">
        <v>4</v>
      </c>
      <c r="H84" s="2" t="s">
        <v>8</v>
      </c>
      <c r="I84" s="2" t="s">
        <v>15</v>
      </c>
      <c r="J84" s="3" t="s">
        <v>14</v>
      </c>
      <c r="K84" s="28" t="s">
        <v>16</v>
      </c>
      <c r="L84" s="28" t="s">
        <v>17</v>
      </c>
      <c r="M84" s="28" t="s">
        <v>18</v>
      </c>
      <c r="N84" s="28" t="s">
        <v>23</v>
      </c>
      <c r="O84" s="28" t="s">
        <v>19</v>
      </c>
      <c r="P84" s="28" t="s">
        <v>20</v>
      </c>
      <c r="Q84" s="28" t="s">
        <v>21</v>
      </c>
      <c r="R84" s="28" t="s">
        <v>22</v>
      </c>
      <c r="S84" s="28" t="s">
        <v>24</v>
      </c>
    </row>
    <row r="85" spans="1:34" x14ac:dyDescent="0.2">
      <c r="A85" s="4" t="s">
        <v>605</v>
      </c>
      <c r="B85" s="28"/>
      <c r="C85" s="22">
        <f>SUM($C$43:$C$45)</f>
        <v>0</v>
      </c>
      <c r="D85" s="22">
        <f>C85-SUM(E85:S85)</f>
        <v>0</v>
      </c>
      <c r="E85" s="22">
        <f>SUM(E$43:E$45)</f>
        <v>0</v>
      </c>
      <c r="F85" s="22">
        <f>SUM(F$43:F$45)</f>
        <v>0</v>
      </c>
      <c r="G85" s="22">
        <f>SUM(G$43:G$45)</f>
        <v>0</v>
      </c>
      <c r="H85" s="22">
        <f>SUM(H$43:H$45)</f>
        <v>0</v>
      </c>
      <c r="I85" s="22">
        <f t="shared" ref="I85:N85" si="5">SUM(I$43:I$45)*2</f>
        <v>0</v>
      </c>
      <c r="J85" s="22">
        <f t="shared" si="5"/>
        <v>0</v>
      </c>
      <c r="K85" s="22">
        <f t="shared" si="5"/>
        <v>0</v>
      </c>
      <c r="L85" s="22">
        <f t="shared" si="5"/>
        <v>0</v>
      </c>
      <c r="M85" s="22">
        <f t="shared" si="5"/>
        <v>0</v>
      </c>
      <c r="N85" s="22">
        <f t="shared" si="5"/>
        <v>0</v>
      </c>
      <c r="O85" s="22">
        <f>SUM(O$43:O$45)*3</f>
        <v>0</v>
      </c>
      <c r="P85" s="22">
        <f>SUM(P$43:P$45)*3</f>
        <v>0</v>
      </c>
      <c r="Q85" s="22">
        <f>SUM(Q$43:Q$45)*3</f>
        <v>0</v>
      </c>
      <c r="R85" s="22">
        <f>SUM(R$43:R$45)*3</f>
        <v>0</v>
      </c>
      <c r="S85" s="22">
        <f>SUM(S$43:S$45)*4</f>
        <v>0</v>
      </c>
    </row>
    <row r="86" spans="1:34" x14ac:dyDescent="0.2">
      <c r="A86" s="4" t="s">
        <v>27</v>
      </c>
      <c r="B86" s="28"/>
      <c r="C86" s="22">
        <f>SUMIF(Kostenquotenrechner!BB$18:BB$20,TRUE,B$43:B$45)</f>
        <v>0</v>
      </c>
      <c r="D86" s="22">
        <f>C86-E86</f>
        <v>0</v>
      </c>
      <c r="E86" s="22">
        <f>SUM(E$43:E$45,I$43:I$45,J$43:J$45,K$43:K$45,O$43:O$45,P$43:P$45,Q$43:Q$45,S$43:S$45)</f>
        <v>0</v>
      </c>
      <c r="G86" s="22"/>
      <c r="J86" s="22"/>
      <c r="K86" s="3"/>
      <c r="L86" s="3"/>
      <c r="P86" s="3"/>
      <c r="Q86" s="3"/>
      <c r="R86" s="3"/>
      <c r="S86" s="3"/>
    </row>
    <row r="87" spans="1:34" x14ac:dyDescent="0.2">
      <c r="A87" s="4" t="s">
        <v>34</v>
      </c>
      <c r="B87" s="28"/>
      <c r="C87" s="22">
        <f>SUMIF(Kostenquotenrechner!BC$18:BC$20,TRUE,B$43:B$45)</f>
        <v>0</v>
      </c>
      <c r="D87" s="22">
        <f>C87-F87</f>
        <v>0</v>
      </c>
      <c r="E87" s="22"/>
      <c r="F87" s="22">
        <f>SUM(F$43:F$45,I$43:I$45,L$43:L$45,M$43:M$45,O$43:O$45,P$43:P$45,R$43:R$45,S$43:S$45)</f>
        <v>0</v>
      </c>
      <c r="G87" s="22"/>
      <c r="H87" s="22"/>
      <c r="J87" s="22"/>
      <c r="K87" s="3"/>
      <c r="L87" s="3"/>
      <c r="P87" s="3"/>
      <c r="Q87" s="3"/>
      <c r="R87" s="3"/>
      <c r="S87" s="3"/>
    </row>
    <row r="88" spans="1:34" x14ac:dyDescent="0.2">
      <c r="A88" s="4" t="s">
        <v>35</v>
      </c>
      <c r="B88" s="28"/>
      <c r="C88" s="22">
        <f>SUMIF(Kostenquotenrechner!BD$18:BD$20,TRUE,B$43:B$45)</f>
        <v>0</v>
      </c>
      <c r="D88" s="22">
        <f>C88-G88</f>
        <v>0</v>
      </c>
      <c r="E88" s="22"/>
      <c r="G88" s="22">
        <f>SUM(G$43:G$45,J$43:J$45,L$43:L$45,N$43:N$45,O$43:O$45,Q$43:Q$45,R$43:R$45,S$43:S$45)</f>
        <v>0</v>
      </c>
      <c r="H88" s="22"/>
      <c r="J88" s="22"/>
      <c r="K88" s="3"/>
      <c r="L88" s="3"/>
      <c r="M88" s="3"/>
      <c r="N88" s="3"/>
      <c r="O88" s="3"/>
      <c r="P88" s="3"/>
      <c r="Q88" s="3"/>
      <c r="R88" s="3"/>
      <c r="S88" s="3"/>
    </row>
    <row r="89" spans="1:34" x14ac:dyDescent="0.2">
      <c r="A89" s="4" t="s">
        <v>36</v>
      </c>
      <c r="B89" s="28"/>
      <c r="C89" s="22">
        <f>SUMIF(Kostenquotenrechner!BE$18:BE$20,TRUE,B$43:B$45)</f>
        <v>0</v>
      </c>
      <c r="D89" s="22">
        <f>C89-H89</f>
        <v>0</v>
      </c>
      <c r="E89" s="22"/>
      <c r="H89" s="22">
        <f>SUM(H$43:H$45,K$43:K$45,M$43:M$45,N$43:N$45,P$43:P$45,Q$43:Q$45,R$43:R$45,S$43:S$45)</f>
        <v>0</v>
      </c>
      <c r="J89" s="22"/>
      <c r="K89" s="3"/>
      <c r="L89" s="3"/>
      <c r="M89" s="3"/>
      <c r="N89" s="3"/>
      <c r="O89" s="3"/>
      <c r="P89" s="3"/>
      <c r="Q89" s="3"/>
      <c r="R89" s="3"/>
      <c r="S89" s="3"/>
    </row>
    <row r="90" spans="1:34" x14ac:dyDescent="0.2">
      <c r="A90" s="4"/>
      <c r="B90" s="2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34" x14ac:dyDescent="0.2">
      <c r="A91" s="1" t="s">
        <v>592</v>
      </c>
      <c r="B91" s="2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34" s="21" customFormat="1" x14ac:dyDescent="0.2">
      <c r="A92" s="32"/>
      <c r="B92" s="33"/>
      <c r="C92" s="34"/>
      <c r="D92" s="34" t="s">
        <v>458</v>
      </c>
      <c r="E92" s="34"/>
      <c r="F92" s="34"/>
      <c r="G92" s="34"/>
      <c r="H92" s="34"/>
      <c r="I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H92" s="21" t="s">
        <v>607</v>
      </c>
    </row>
    <row r="93" spans="1:34" s="21" customFormat="1" x14ac:dyDescent="0.2">
      <c r="A93" s="32" t="s">
        <v>459</v>
      </c>
      <c r="B93" s="33"/>
      <c r="C93" s="34"/>
      <c r="D93" s="34" t="s">
        <v>609</v>
      </c>
      <c r="E93" s="21" t="s">
        <v>610</v>
      </c>
      <c r="F93" s="34" t="s">
        <v>4</v>
      </c>
      <c r="G93" s="21" t="s">
        <v>8</v>
      </c>
      <c r="H93" s="21" t="s">
        <v>15</v>
      </c>
      <c r="I93" s="34" t="s">
        <v>14</v>
      </c>
      <c r="J93" s="33" t="s">
        <v>16</v>
      </c>
      <c r="K93" s="33" t="s">
        <v>17</v>
      </c>
      <c r="L93" s="33" t="s">
        <v>18</v>
      </c>
      <c r="M93" s="33" t="s">
        <v>23</v>
      </c>
      <c r="N93" s="33" t="s">
        <v>19</v>
      </c>
      <c r="O93" s="33" t="s">
        <v>20</v>
      </c>
      <c r="P93" s="33" t="s">
        <v>21</v>
      </c>
      <c r="Q93" s="33" t="s">
        <v>22</v>
      </c>
      <c r="R93" s="33" t="s">
        <v>24</v>
      </c>
      <c r="S93" s="34" t="s">
        <v>436</v>
      </c>
      <c r="T93" s="34" t="s">
        <v>437</v>
      </c>
      <c r="U93" s="34" t="s">
        <v>441</v>
      </c>
      <c r="V93" s="34" t="s">
        <v>442</v>
      </c>
      <c r="W93" s="21" t="s">
        <v>443</v>
      </c>
      <c r="X93" s="21" t="s">
        <v>444</v>
      </c>
      <c r="Y93" s="21" t="s">
        <v>445</v>
      </c>
      <c r="Z93" s="21" t="s">
        <v>446</v>
      </c>
      <c r="AA93" s="21" t="s">
        <v>447</v>
      </c>
      <c r="AB93" s="21" t="s">
        <v>448</v>
      </c>
      <c r="AC93" s="21" t="s">
        <v>449</v>
      </c>
      <c r="AD93" s="21" t="s">
        <v>450</v>
      </c>
      <c r="AE93" s="21" t="s">
        <v>451</v>
      </c>
      <c r="AF93" s="21" t="s">
        <v>452</v>
      </c>
      <c r="AG93" s="21" t="s">
        <v>453</v>
      </c>
    </row>
    <row r="94" spans="1:34" s="21" customFormat="1" x14ac:dyDescent="0.2">
      <c r="A94" s="32" t="s">
        <v>593</v>
      </c>
      <c r="B94" s="33"/>
      <c r="C94" s="35">
        <f>SUM(C50,C57,C64,C71,C78,C85)</f>
        <v>0</v>
      </c>
      <c r="D94" s="35">
        <f>SUM(D50,E64,E71,E78,E85)</f>
        <v>0</v>
      </c>
      <c r="E94" s="35">
        <f>SUM(D57,F64,F71,F78,F85)</f>
        <v>0</v>
      </c>
      <c r="F94" s="35">
        <f>SUM(G64,G71,G78,G85)</f>
        <v>0</v>
      </c>
      <c r="G94" s="35">
        <f>SUM(H64,H71,H78,H85)</f>
        <v>0</v>
      </c>
      <c r="H94" s="35">
        <f>SUM(I64,I71,I78,I85)</f>
        <v>0</v>
      </c>
      <c r="I94" s="35">
        <f t="shared" ref="I94:R94" si="6">SUM(J64,J71,J78,J85)</f>
        <v>0</v>
      </c>
      <c r="J94" s="35">
        <f t="shared" si="6"/>
        <v>0</v>
      </c>
      <c r="K94" s="35">
        <f t="shared" si="6"/>
        <v>0</v>
      </c>
      <c r="L94" s="35">
        <f t="shared" si="6"/>
        <v>0</v>
      </c>
      <c r="M94" s="35">
        <f t="shared" si="6"/>
        <v>0</v>
      </c>
      <c r="N94" s="35">
        <f t="shared" si="6"/>
        <v>0</v>
      </c>
      <c r="O94" s="35">
        <f t="shared" si="6"/>
        <v>0</v>
      </c>
      <c r="P94" s="35">
        <f t="shared" si="6"/>
        <v>0</v>
      </c>
      <c r="Q94" s="35">
        <f t="shared" si="6"/>
        <v>0</v>
      </c>
      <c r="R94" s="35">
        <f t="shared" si="6"/>
        <v>0</v>
      </c>
      <c r="S94" s="35">
        <f>SUM(E50,E57,D64)</f>
        <v>0</v>
      </c>
      <c r="T94" s="35">
        <f>SUM(F50,F57,D71)</f>
        <v>0</v>
      </c>
      <c r="U94" s="35">
        <f>SUM(G50,G57,D78)</f>
        <v>0</v>
      </c>
      <c r="V94" s="35">
        <f>SUM(H50,H57,D85)</f>
        <v>0</v>
      </c>
      <c r="W94" s="35">
        <f>SUM(I50,I57)</f>
        <v>0</v>
      </c>
      <c r="X94" s="35">
        <f t="shared" ref="X94:AG94" si="7">SUM(J50,J57)</f>
        <v>0</v>
      </c>
      <c r="Y94" s="35">
        <f t="shared" si="7"/>
        <v>0</v>
      </c>
      <c r="Z94" s="35">
        <f t="shared" si="7"/>
        <v>0</v>
      </c>
      <c r="AA94" s="35">
        <f t="shared" si="7"/>
        <v>0</v>
      </c>
      <c r="AB94" s="35">
        <f t="shared" si="7"/>
        <v>0</v>
      </c>
      <c r="AC94" s="35">
        <f t="shared" si="7"/>
        <v>0</v>
      </c>
      <c r="AD94" s="35">
        <f t="shared" si="7"/>
        <v>0</v>
      </c>
      <c r="AE94" s="35">
        <f t="shared" si="7"/>
        <v>0</v>
      </c>
      <c r="AF94" s="35">
        <f t="shared" si="7"/>
        <v>0</v>
      </c>
      <c r="AG94" s="35">
        <f t="shared" si="7"/>
        <v>0</v>
      </c>
      <c r="AH94" s="35"/>
    </row>
    <row r="95" spans="1:34" s="21" customFormat="1" x14ac:dyDescent="0.2">
      <c r="A95" s="21" t="s">
        <v>461</v>
      </c>
      <c r="B95" s="33"/>
      <c r="C95" s="35"/>
      <c r="D95" s="36">
        <f>IF($C94=0,0,ROUND(D94/$C94*100,1))</f>
        <v>0</v>
      </c>
      <c r="E95" s="36">
        <f t="shared" ref="E95:AG95" si="8">IF($C94=0,0,ROUND(E94/$C94*100,1))</f>
        <v>0</v>
      </c>
      <c r="F95" s="36">
        <f t="shared" si="8"/>
        <v>0</v>
      </c>
      <c r="G95" s="36">
        <f t="shared" si="8"/>
        <v>0</v>
      </c>
      <c r="H95" s="36">
        <f t="shared" si="8"/>
        <v>0</v>
      </c>
      <c r="I95" s="36">
        <f t="shared" si="8"/>
        <v>0</v>
      </c>
      <c r="J95" s="36">
        <f t="shared" si="8"/>
        <v>0</v>
      </c>
      <c r="K95" s="36">
        <f t="shared" si="8"/>
        <v>0</v>
      </c>
      <c r="L95" s="36">
        <f t="shared" si="8"/>
        <v>0</v>
      </c>
      <c r="M95" s="36">
        <f t="shared" si="8"/>
        <v>0</v>
      </c>
      <c r="N95" s="36">
        <f t="shared" si="8"/>
        <v>0</v>
      </c>
      <c r="O95" s="36">
        <f t="shared" si="8"/>
        <v>0</v>
      </c>
      <c r="P95" s="36">
        <f t="shared" si="8"/>
        <v>0</v>
      </c>
      <c r="Q95" s="36">
        <f t="shared" si="8"/>
        <v>0</v>
      </c>
      <c r="R95" s="36">
        <f t="shared" si="8"/>
        <v>0</v>
      </c>
      <c r="S95" s="36">
        <f t="shared" si="8"/>
        <v>0</v>
      </c>
      <c r="T95" s="36">
        <f t="shared" si="8"/>
        <v>0</v>
      </c>
      <c r="U95" s="36">
        <f t="shared" si="8"/>
        <v>0</v>
      </c>
      <c r="V95" s="36">
        <f t="shared" si="8"/>
        <v>0</v>
      </c>
      <c r="W95" s="36">
        <f t="shared" si="8"/>
        <v>0</v>
      </c>
      <c r="X95" s="36">
        <f t="shared" si="8"/>
        <v>0</v>
      </c>
      <c r="Y95" s="36">
        <f t="shared" si="8"/>
        <v>0</v>
      </c>
      <c r="Z95" s="36">
        <f t="shared" si="8"/>
        <v>0</v>
      </c>
      <c r="AA95" s="36">
        <f t="shared" si="8"/>
        <v>0</v>
      </c>
      <c r="AB95" s="36">
        <f t="shared" si="8"/>
        <v>0</v>
      </c>
      <c r="AC95" s="36">
        <f t="shared" si="8"/>
        <v>0</v>
      </c>
      <c r="AD95" s="36">
        <f t="shared" si="8"/>
        <v>0</v>
      </c>
      <c r="AE95" s="36">
        <f t="shared" si="8"/>
        <v>0</v>
      </c>
      <c r="AF95" s="36">
        <f t="shared" si="8"/>
        <v>0</v>
      </c>
      <c r="AG95" s="36">
        <f t="shared" si="8"/>
        <v>0</v>
      </c>
      <c r="AH95" s="35"/>
    </row>
    <row r="96" spans="1:34" s="21" customFormat="1" x14ac:dyDescent="0.2">
      <c r="A96" s="21" t="s">
        <v>463</v>
      </c>
      <c r="B96" s="33"/>
      <c r="C96" s="35"/>
      <c r="D96" s="31" t="str">
        <f>IF(D95&gt;0,"Kläger zu 1) "&amp;D95&amp;" %. ","")</f>
        <v/>
      </c>
      <c r="E96" s="31" t="str">
        <f>IF(E95&gt;0,"Kläger zu 2) "&amp;E95&amp;" %. ","")</f>
        <v/>
      </c>
      <c r="F96" s="31" t="str">
        <f>IF(F95&gt;0,"Drittwiderbeklagter zu 1) "&amp;F95&amp;" %. ","")</f>
        <v/>
      </c>
      <c r="G96" s="31" t="str">
        <f>IF(G95&gt;0,"Drittwiderbeklagter zu 2) "&amp;G95&amp;" %. ","")</f>
        <v/>
      </c>
      <c r="H96" s="31" t="str">
        <f>IF(H95&gt;0,"Kläger zu 1) und 2) als Gesamtschuldner "&amp;H95&amp;" %. ","")</f>
        <v/>
      </c>
      <c r="I96" s="31" t="str">
        <f>IF(I95&gt;0,"Kläger zu 1) und Drittwiderbeklagter zu 1) als Gesamtschuldner "&amp;I95&amp;" %. ","")</f>
        <v/>
      </c>
      <c r="J96" s="31" t="str">
        <f>IF(J95&gt;0,"Kläger zu 1) und Drittwiderbeklagter zu 2) als Gesamtschuldner "&amp;J95&amp;" %. ","")</f>
        <v/>
      </c>
      <c r="K96" s="31" t="str">
        <f>IF(K95&gt;0,"Kläger zu 2) und Drittwiderbeklagter zu 1) als Gesamtschuldner "&amp;K95&amp;" %. ","")</f>
        <v/>
      </c>
      <c r="L96" s="31" t="str">
        <f>IF(L95&gt;0,"Kläger zu 2) und Drittwiderbeklagter zu 2) als Gesamtschuldner "&amp;L95&amp;" %. ","")</f>
        <v/>
      </c>
      <c r="M96" s="31" t="str">
        <f>IF(M95&gt;0,"Drittwiderbeklagte zu 1) und 2) als Gesamtschuldner "&amp;M95&amp;" %. ","")</f>
        <v/>
      </c>
      <c r="N96" s="31" t="str">
        <f>IF(N95&gt;0,"Kläger zu 1) und 2) und Drittwiderbeklagter zu 1) als Gesamtschuldner "&amp;N95&amp;" %. ","")</f>
        <v/>
      </c>
      <c r="O96" s="31" t="str">
        <f>IF(O95&gt;0,"Kläger zu 1) und 2) und Drittwiderbeklagter zu 2) als Gesamtschuldner "&amp;O95&amp;" %. ","")</f>
        <v/>
      </c>
      <c r="P96" s="31" t="str">
        <f>IF(P95&gt;0,"Kläger zu 1) und Drittwiderbeklagte zu 1) und 2) als Gesamtschuldner "&amp;P95&amp;" %. ","")</f>
        <v/>
      </c>
      <c r="Q96" s="31" t="str">
        <f>IF(Q95&gt;0,"Kläger zu 2) und Drittwiderbeklagte zu 1) und 2) als Gesamtschuldner "&amp;Q95&amp;" %. ","")</f>
        <v/>
      </c>
      <c r="R96" s="31" t="str">
        <f>IF(R95&gt;0,"Kläger zu 1) und 2) und Drittwiderbeklagte zu 1) und 2) als Gesamtschuldner "&amp;R95&amp;" %. ","")</f>
        <v/>
      </c>
      <c r="S96" s="31" t="str">
        <f>IF(S95&gt;0,"Beklagter zu 1) "&amp;S95&amp;" %. ","")</f>
        <v/>
      </c>
      <c r="T96" s="31" t="str">
        <f>IF(T95&gt;0,"Beklagter zu 2) "&amp;T95&amp;" %. ","")</f>
        <v/>
      </c>
      <c r="U96" s="31" t="str">
        <f>IF(U95&gt;0,"Beklagter zu 3) "&amp;U95&amp;" %. ","")</f>
        <v/>
      </c>
      <c r="V96" s="31" t="str">
        <f>IF(V95&gt;0,"Beklagter zu 4) "&amp;V95&amp;" %. ","")</f>
        <v/>
      </c>
      <c r="W96" s="31" t="str">
        <f>IF(W95&gt;0,"Beklagte zu 1) und 2) als Gesamtschuldner "&amp;W95&amp;" %. ","")</f>
        <v/>
      </c>
      <c r="X96" s="31" t="str">
        <f>IF(X95&gt;0,"Beklagte zu 1) und 3) als Gesamtschuldner "&amp;X95&amp;" %. ","")</f>
        <v/>
      </c>
      <c r="Y96" s="31" t="str">
        <f>IF(Y95&gt;0,"Beklagte zu 1) und 4) als Gesamtschuldner "&amp;Y95&amp;" %. ","")</f>
        <v/>
      </c>
      <c r="Z96" s="31" t="str">
        <f>IF(Z95&gt;0,"Beklagte zu 2) und 3) als Gesamtschuldner "&amp;Z95&amp;" %. ","")</f>
        <v/>
      </c>
      <c r="AA96" s="31" t="str">
        <f>IF(AA95&gt;0,"Beklagte zu 2) und 4) als Gesamtschuldner "&amp;AA95&amp;" %. ","")</f>
        <v/>
      </c>
      <c r="AB96" s="31" t="str">
        <f>IF(AB95&gt;0,"Beklagte zu 3) und 4) als Gesamtschuldner "&amp;AB95&amp;" %. ","")</f>
        <v/>
      </c>
      <c r="AC96" s="31" t="str">
        <f>IF(AC95&gt;0,"Beklagte zu 1), 2) und 3) als Gesamtschuldner "&amp;AC95&amp;" %. ","")</f>
        <v/>
      </c>
      <c r="AD96" s="31" t="str">
        <f>IF(AD95&gt;0,"Beklagte zu 1), 2) und 4) als Gesamtschuldner "&amp;AD95&amp;" %. ","")</f>
        <v/>
      </c>
      <c r="AE96" s="31" t="str">
        <f>IF(AE95&gt;0,"Beklagte zu 1), 3) und 4) als Gesamtschuldner "&amp;AE95&amp;" %. ","")</f>
        <v/>
      </c>
      <c r="AF96" s="31" t="str">
        <f>IF(AF95&gt;0,"Beklagte zu 2), 3) und 4) als Gesamtschuldner "&amp;AF95&amp;" %. ","")</f>
        <v/>
      </c>
      <c r="AG96" s="31" t="str">
        <f>IF(AG95&gt;0,"Beklagte zu 1), 2), 3) und 4) als Gesamtschuldner "&amp;AG95&amp;" %. ","")</f>
        <v/>
      </c>
      <c r="AH96" s="31" t="str">
        <f>D96&amp;E96&amp;F96&amp;G96&amp;H96&amp;I96&amp;J96&amp;K96&amp;L96&amp;M96&amp;N96&amp;O96&amp;P96&amp;Q96&amp;R96&amp;S96&amp;T96&amp;U96&amp;V96&amp;W96&amp;X96&amp;Y96&amp;Z96&amp;AA96&amp;AB96&amp;AC96&amp;AD96&amp;AE96&amp;AF96&amp;AG96</f>
        <v/>
      </c>
    </row>
    <row r="97" spans="1:34" s="21" customFormat="1" x14ac:dyDescent="0.2">
      <c r="B97" s="33"/>
      <c r="C97" s="35"/>
      <c r="D97" s="34" t="s">
        <v>458</v>
      </c>
      <c r="E97" s="34"/>
      <c r="F97" s="34"/>
      <c r="G97" s="34"/>
      <c r="H97" s="34"/>
      <c r="I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H97" s="21" t="s">
        <v>607</v>
      </c>
    </row>
    <row r="98" spans="1:34" s="21" customFormat="1" x14ac:dyDescent="0.2">
      <c r="B98" s="33"/>
      <c r="C98" s="35"/>
      <c r="D98" s="34" t="s">
        <v>609</v>
      </c>
      <c r="E98" s="21" t="s">
        <v>610</v>
      </c>
      <c r="F98" s="34" t="s">
        <v>4</v>
      </c>
      <c r="G98" s="21" t="s">
        <v>8</v>
      </c>
      <c r="H98" s="21" t="s">
        <v>15</v>
      </c>
      <c r="I98" s="34" t="s">
        <v>14</v>
      </c>
      <c r="J98" s="33" t="s">
        <v>16</v>
      </c>
      <c r="K98" s="33" t="s">
        <v>17</v>
      </c>
      <c r="L98" s="33" t="s">
        <v>18</v>
      </c>
      <c r="M98" s="33" t="s">
        <v>23</v>
      </c>
      <c r="N98" s="33" t="s">
        <v>19</v>
      </c>
      <c r="O98" s="33" t="s">
        <v>20</v>
      </c>
      <c r="P98" s="33" t="s">
        <v>21</v>
      </c>
      <c r="Q98" s="33" t="s">
        <v>22</v>
      </c>
      <c r="R98" s="33" t="s">
        <v>24</v>
      </c>
      <c r="S98" s="34" t="s">
        <v>436</v>
      </c>
      <c r="T98" s="34" t="s">
        <v>437</v>
      </c>
      <c r="U98" s="34" t="s">
        <v>441</v>
      </c>
      <c r="V98" s="34" t="s">
        <v>442</v>
      </c>
      <c r="W98" s="21" t="s">
        <v>443</v>
      </c>
      <c r="X98" s="21" t="s">
        <v>444</v>
      </c>
      <c r="Y98" s="21" t="s">
        <v>445</v>
      </c>
      <c r="Z98" s="21" t="s">
        <v>446</v>
      </c>
      <c r="AA98" s="21" t="s">
        <v>447</v>
      </c>
      <c r="AB98" s="21" t="s">
        <v>448</v>
      </c>
      <c r="AC98" s="21" t="s">
        <v>449</v>
      </c>
      <c r="AD98" s="21" t="s">
        <v>450</v>
      </c>
      <c r="AE98" s="21" t="s">
        <v>451</v>
      </c>
      <c r="AF98" s="21" t="s">
        <v>452</v>
      </c>
      <c r="AG98" s="21" t="s">
        <v>453</v>
      </c>
    </row>
    <row r="99" spans="1:34" s="21" customFormat="1" x14ac:dyDescent="0.2">
      <c r="A99" s="32" t="s">
        <v>27</v>
      </c>
      <c r="B99" s="33"/>
      <c r="C99" s="35">
        <f>SUM(C50,C65,C72,C79,C86)</f>
        <v>0</v>
      </c>
      <c r="D99" s="35">
        <f>SUM(D50,E65,E72,E79,E86)</f>
        <v>0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>
        <f>SUM(E50,D65)</f>
        <v>0</v>
      </c>
      <c r="T99" s="35">
        <f>SUM(F50,D72)</f>
        <v>0</v>
      </c>
      <c r="U99" s="35">
        <f>SUM(G50,D79)</f>
        <v>0</v>
      </c>
      <c r="V99" s="35">
        <f>SUM(H50,D86)</f>
        <v>0</v>
      </c>
      <c r="W99" s="35">
        <f>I50</f>
        <v>0</v>
      </c>
      <c r="X99" s="35">
        <f t="shared" ref="X99:AG99" si="9">J50</f>
        <v>0</v>
      </c>
      <c r="Y99" s="35">
        <f t="shared" si="9"/>
        <v>0</v>
      </c>
      <c r="Z99" s="35">
        <f t="shared" si="9"/>
        <v>0</v>
      </c>
      <c r="AA99" s="35">
        <f t="shared" si="9"/>
        <v>0</v>
      </c>
      <c r="AB99" s="35">
        <f t="shared" si="9"/>
        <v>0</v>
      </c>
      <c r="AC99" s="35">
        <f t="shared" si="9"/>
        <v>0</v>
      </c>
      <c r="AD99" s="35">
        <f t="shared" si="9"/>
        <v>0</v>
      </c>
      <c r="AE99" s="35">
        <f t="shared" si="9"/>
        <v>0</v>
      </c>
      <c r="AF99" s="35">
        <f t="shared" si="9"/>
        <v>0</v>
      </c>
      <c r="AG99" s="35">
        <f t="shared" si="9"/>
        <v>0</v>
      </c>
      <c r="AH99" s="35"/>
    </row>
    <row r="100" spans="1:34" s="21" customFormat="1" x14ac:dyDescent="0.2">
      <c r="A100" s="21" t="s">
        <v>461</v>
      </c>
      <c r="B100" s="33"/>
      <c r="C100" s="35"/>
      <c r="D100" s="36">
        <f>IF($C99=0,0,ROUND(D99/$C99*100,1))</f>
        <v>0</v>
      </c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6">
        <f t="shared" ref="S100:AG100" si="10">IF($C99=0,0,ROUND(S99/$C99*100,1))</f>
        <v>0</v>
      </c>
      <c r="T100" s="36">
        <f t="shared" si="10"/>
        <v>0</v>
      </c>
      <c r="U100" s="36">
        <f t="shared" si="10"/>
        <v>0</v>
      </c>
      <c r="V100" s="36">
        <f t="shared" si="10"/>
        <v>0</v>
      </c>
      <c r="W100" s="36">
        <f t="shared" si="10"/>
        <v>0</v>
      </c>
      <c r="X100" s="36">
        <f t="shared" si="10"/>
        <v>0</v>
      </c>
      <c r="Y100" s="36">
        <f t="shared" si="10"/>
        <v>0</v>
      </c>
      <c r="Z100" s="36">
        <f t="shared" si="10"/>
        <v>0</v>
      </c>
      <c r="AA100" s="36">
        <f t="shared" si="10"/>
        <v>0</v>
      </c>
      <c r="AB100" s="36">
        <f t="shared" si="10"/>
        <v>0</v>
      </c>
      <c r="AC100" s="36">
        <f t="shared" si="10"/>
        <v>0</v>
      </c>
      <c r="AD100" s="36">
        <f t="shared" si="10"/>
        <v>0</v>
      </c>
      <c r="AE100" s="36">
        <f t="shared" si="10"/>
        <v>0</v>
      </c>
      <c r="AF100" s="36">
        <f t="shared" si="10"/>
        <v>0</v>
      </c>
      <c r="AG100" s="36">
        <f t="shared" si="10"/>
        <v>0</v>
      </c>
      <c r="AH100" s="35"/>
    </row>
    <row r="101" spans="1:34" s="21" customFormat="1" x14ac:dyDescent="0.2">
      <c r="A101" s="21" t="s">
        <v>463</v>
      </c>
      <c r="B101" s="33"/>
      <c r="C101" s="35"/>
      <c r="D101" s="31" t="str">
        <f>IF(D100&gt;0,"Kläger zu 1) "&amp;D100&amp;" %. ","")</f>
        <v/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 t="str">
        <f>IF(S100&gt;0,"Beklagter zu 1) "&amp;S100&amp;" %. ","")</f>
        <v/>
      </c>
      <c r="T101" s="31" t="str">
        <f>IF(T100&gt;0,"Beklagter zu 2) "&amp;T100&amp;" %. ","")</f>
        <v/>
      </c>
      <c r="U101" s="31" t="str">
        <f>IF(U100&gt;0,"Beklagter zu 3) "&amp;U100&amp;" %. ","")</f>
        <v/>
      </c>
      <c r="V101" s="31" t="str">
        <f>IF(V100&gt;0,"Beklagter zu 4) "&amp;V100&amp;" %. ","")</f>
        <v/>
      </c>
      <c r="W101" s="31" t="str">
        <f>IF(W100&gt;0,"Beklagte zu 1) und 2) als Gesamtschuldner "&amp;W100&amp;" %. ","")</f>
        <v/>
      </c>
      <c r="X101" s="31" t="str">
        <f>IF(X100&gt;0,"Beklagte zu 1) und 3) als Gesamtschuldner "&amp;X100&amp;" %. ","")</f>
        <v/>
      </c>
      <c r="Y101" s="31" t="str">
        <f>IF(Y100&gt;0,"Beklagte zu 1) und 4) als Gesamtschuldner "&amp;Y100&amp;" %. ","")</f>
        <v/>
      </c>
      <c r="Z101" s="31" t="str">
        <f>IF(Z100&gt;0,"Beklagte zu 2) und 3) als Gesamtschuldner "&amp;Z100&amp;" %. ","")</f>
        <v/>
      </c>
      <c r="AA101" s="31" t="str">
        <f>IF(AA100&gt;0,"Beklagte zu 2) und 4) als Gesamtschuldner "&amp;AA100&amp;" %. ","")</f>
        <v/>
      </c>
      <c r="AB101" s="31" t="str">
        <f>IF(AB100&gt;0,"Beklagte zu 3) und 4) als Gesamtschuldner "&amp;AB100&amp;" %. ","")</f>
        <v/>
      </c>
      <c r="AC101" s="31" t="str">
        <f>IF(AC100&gt;0,"Beklagte zu 1), 2) und 3) als Gesamtschuldner "&amp;AC100&amp;" %. ","")</f>
        <v/>
      </c>
      <c r="AD101" s="31" t="str">
        <f>IF(AD100&gt;0,"Beklagte zu 1), 2) und 4) als Gesamtschuldner "&amp;AD100&amp;" %. ","")</f>
        <v/>
      </c>
      <c r="AE101" s="31" t="str">
        <f>IF(AE100&gt;0,"Beklagte zu 1), 3) und 4) als Gesamtschuldner "&amp;AE100&amp;" %. ","")</f>
        <v/>
      </c>
      <c r="AF101" s="31" t="str">
        <f>IF(AF100&gt;0,"Beklagte zu 2), 3) und 4) als Gesamtschuldner "&amp;AF100&amp;" %. ","")</f>
        <v/>
      </c>
      <c r="AG101" s="31" t="str">
        <f>IF(AG100&gt;0,"Beklagte zu 1), 2), 3) und 4) als Gesamtschuldner "&amp;AG100&amp;" %. ","")</f>
        <v/>
      </c>
      <c r="AH101" s="31" t="str">
        <f>D101&amp;E101&amp;F101&amp;G101&amp;H101&amp;I101&amp;J101&amp;K101&amp;L101&amp;M101&amp;N101&amp;O101&amp;P101&amp;Q101&amp;R101&amp;S101&amp;T101&amp;U101&amp;V101&amp;W101&amp;X101&amp;Y101&amp;Z101&amp;AA101&amp;AB101&amp;AC101&amp;AD101&amp;AE101&amp;AF101&amp;AG101</f>
        <v/>
      </c>
    </row>
    <row r="102" spans="1:34" s="21" customFormat="1" x14ac:dyDescent="0.2">
      <c r="B102" s="33"/>
      <c r="C102" s="35"/>
      <c r="D102" s="34" t="s">
        <v>458</v>
      </c>
      <c r="E102" s="34"/>
      <c r="F102" s="34"/>
      <c r="G102" s="34"/>
      <c r="H102" s="34"/>
      <c r="I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H102" s="21" t="s">
        <v>607</v>
      </c>
    </row>
    <row r="103" spans="1:34" s="21" customFormat="1" x14ac:dyDescent="0.2">
      <c r="B103" s="33"/>
      <c r="C103" s="35"/>
      <c r="D103" s="34" t="s">
        <v>609</v>
      </c>
      <c r="E103" s="21" t="s">
        <v>610</v>
      </c>
      <c r="F103" s="34" t="s">
        <v>4</v>
      </c>
      <c r="G103" s="21" t="s">
        <v>8</v>
      </c>
      <c r="H103" s="21" t="s">
        <v>15</v>
      </c>
      <c r="I103" s="34" t="s">
        <v>14</v>
      </c>
      <c r="J103" s="33" t="s">
        <v>16</v>
      </c>
      <c r="K103" s="33" t="s">
        <v>17</v>
      </c>
      <c r="L103" s="33" t="s">
        <v>18</v>
      </c>
      <c r="M103" s="33" t="s">
        <v>23</v>
      </c>
      <c r="N103" s="33" t="s">
        <v>19</v>
      </c>
      <c r="O103" s="33" t="s">
        <v>20</v>
      </c>
      <c r="P103" s="33" t="s">
        <v>21</v>
      </c>
      <c r="Q103" s="33" t="s">
        <v>22</v>
      </c>
      <c r="R103" s="33" t="s">
        <v>24</v>
      </c>
      <c r="S103" s="34" t="s">
        <v>436</v>
      </c>
      <c r="T103" s="34" t="s">
        <v>437</v>
      </c>
      <c r="U103" s="34" t="s">
        <v>441</v>
      </c>
      <c r="V103" s="34" t="s">
        <v>442</v>
      </c>
      <c r="W103" s="21" t="s">
        <v>443</v>
      </c>
      <c r="X103" s="21" t="s">
        <v>444</v>
      </c>
      <c r="Y103" s="21" t="s">
        <v>445</v>
      </c>
      <c r="Z103" s="21" t="s">
        <v>446</v>
      </c>
      <c r="AA103" s="21" t="s">
        <v>447</v>
      </c>
      <c r="AB103" s="21" t="s">
        <v>448</v>
      </c>
      <c r="AC103" s="21" t="s">
        <v>449</v>
      </c>
      <c r="AD103" s="21" t="s">
        <v>450</v>
      </c>
      <c r="AE103" s="21" t="s">
        <v>451</v>
      </c>
      <c r="AF103" s="21" t="s">
        <v>452</v>
      </c>
      <c r="AG103" s="21" t="s">
        <v>453</v>
      </c>
    </row>
    <row r="104" spans="1:34" s="21" customFormat="1" x14ac:dyDescent="0.2">
      <c r="A104" s="32" t="s">
        <v>34</v>
      </c>
      <c r="B104" s="33"/>
      <c r="C104" s="35">
        <f>SUM(C57,C66,C73,C80,C87)</f>
        <v>0</v>
      </c>
      <c r="D104" s="35"/>
      <c r="E104" s="35">
        <f>SUM(D57,F66,F73,F80,F87)</f>
        <v>0</v>
      </c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>
        <f>SUM(E57,D66)</f>
        <v>0</v>
      </c>
      <c r="T104" s="35">
        <f>SUM(F57,D73)</f>
        <v>0</v>
      </c>
      <c r="U104" s="35">
        <f>SUM(G57,D80)</f>
        <v>0</v>
      </c>
      <c r="V104" s="35">
        <f>SUM(H57,D87)</f>
        <v>0</v>
      </c>
      <c r="W104" s="35">
        <f>I57</f>
        <v>0</v>
      </c>
      <c r="X104" s="35">
        <f t="shared" ref="X104:AG104" si="11">J57</f>
        <v>0</v>
      </c>
      <c r="Y104" s="35">
        <f t="shared" si="11"/>
        <v>0</v>
      </c>
      <c r="Z104" s="35">
        <f t="shared" si="11"/>
        <v>0</v>
      </c>
      <c r="AA104" s="35">
        <f t="shared" si="11"/>
        <v>0</v>
      </c>
      <c r="AB104" s="35">
        <f t="shared" si="11"/>
        <v>0</v>
      </c>
      <c r="AC104" s="35">
        <f t="shared" si="11"/>
        <v>0</v>
      </c>
      <c r="AD104" s="35">
        <f t="shared" si="11"/>
        <v>0</v>
      </c>
      <c r="AE104" s="35">
        <f t="shared" si="11"/>
        <v>0</v>
      </c>
      <c r="AF104" s="35">
        <f t="shared" si="11"/>
        <v>0</v>
      </c>
      <c r="AG104" s="35">
        <f t="shared" si="11"/>
        <v>0</v>
      </c>
      <c r="AH104" s="35"/>
    </row>
    <row r="105" spans="1:34" s="21" customFormat="1" x14ac:dyDescent="0.2">
      <c r="A105" s="21" t="s">
        <v>461</v>
      </c>
      <c r="B105" s="33"/>
      <c r="C105" s="35"/>
      <c r="D105" s="37"/>
      <c r="E105" s="36">
        <f>IF($C104=0,0,ROUND(E104/$C104*100,1))</f>
        <v>0</v>
      </c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6">
        <f t="shared" ref="S105:AG105" si="12">IF($C104=0,0,ROUND(S104/$C104*100,1))</f>
        <v>0</v>
      </c>
      <c r="T105" s="36">
        <f t="shared" si="12"/>
        <v>0</v>
      </c>
      <c r="U105" s="36">
        <f t="shared" si="12"/>
        <v>0</v>
      </c>
      <c r="V105" s="36">
        <f t="shared" si="12"/>
        <v>0</v>
      </c>
      <c r="W105" s="36">
        <f t="shared" si="12"/>
        <v>0</v>
      </c>
      <c r="X105" s="36">
        <f t="shared" si="12"/>
        <v>0</v>
      </c>
      <c r="Y105" s="36">
        <f t="shared" si="12"/>
        <v>0</v>
      </c>
      <c r="Z105" s="36">
        <f t="shared" si="12"/>
        <v>0</v>
      </c>
      <c r="AA105" s="36">
        <f t="shared" si="12"/>
        <v>0</v>
      </c>
      <c r="AB105" s="36">
        <f t="shared" si="12"/>
        <v>0</v>
      </c>
      <c r="AC105" s="36">
        <f t="shared" si="12"/>
        <v>0</v>
      </c>
      <c r="AD105" s="36">
        <f t="shared" si="12"/>
        <v>0</v>
      </c>
      <c r="AE105" s="36">
        <f t="shared" si="12"/>
        <v>0</v>
      </c>
      <c r="AF105" s="36">
        <f t="shared" si="12"/>
        <v>0</v>
      </c>
      <c r="AG105" s="36">
        <f t="shared" si="12"/>
        <v>0</v>
      </c>
      <c r="AH105" s="35"/>
    </row>
    <row r="106" spans="1:34" s="21" customFormat="1" x14ac:dyDescent="0.2">
      <c r="A106" s="21" t="s">
        <v>463</v>
      </c>
      <c r="B106" s="33"/>
      <c r="C106" s="35"/>
      <c r="D106" s="31"/>
      <c r="E106" s="31" t="str">
        <f>IF(E105&gt;0,"Kläger zu 2) "&amp;E105&amp;" %. ","")</f>
        <v/>
      </c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 t="str">
        <f>IF(S105&gt;0,"Beklagter zu 1) "&amp;S105&amp;" %. ","")</f>
        <v/>
      </c>
      <c r="T106" s="31" t="str">
        <f>IF(T105&gt;0,"Beklagter zu 2) "&amp;T105&amp;" %. ","")</f>
        <v/>
      </c>
      <c r="U106" s="31" t="str">
        <f>IF(U105&gt;0,"Beklagter zu 3) "&amp;U105&amp;" %. ","")</f>
        <v/>
      </c>
      <c r="V106" s="31" t="str">
        <f>IF(V105&gt;0,"Beklagter zu 4) "&amp;V105&amp;" %. ","")</f>
        <v/>
      </c>
      <c r="W106" s="31" t="str">
        <f>IF(W105&gt;0,"Beklagte zu 1) und 2) als Gesamtschuldner "&amp;W105&amp;" %. ","")</f>
        <v/>
      </c>
      <c r="X106" s="31" t="str">
        <f>IF(X105&gt;0,"Beklagte zu 1) und 3) als Gesamtschuldner "&amp;X105&amp;" %. ","")</f>
        <v/>
      </c>
      <c r="Y106" s="31" t="str">
        <f>IF(Y105&gt;0,"Beklagte zu 1) und 4) als Gesamtschuldner "&amp;Y105&amp;" %. ","")</f>
        <v/>
      </c>
      <c r="Z106" s="31" t="str">
        <f>IF(Z105&gt;0,"Beklagte zu 2) und 3) als Gesamtschuldner "&amp;Z105&amp;" %. ","")</f>
        <v/>
      </c>
      <c r="AA106" s="31" t="str">
        <f>IF(AA105&gt;0,"Beklagte zu 2) und 4) als Gesamtschuldner "&amp;AA105&amp;" %. ","")</f>
        <v/>
      </c>
      <c r="AB106" s="31" t="str">
        <f>IF(AB105&gt;0,"Beklagte zu 3) und 4) als Gesamtschuldner "&amp;AB105&amp;" %. ","")</f>
        <v/>
      </c>
      <c r="AC106" s="31" t="str">
        <f>IF(AC105&gt;0,"Beklagte zu 1), 2) und 3) als Gesamtschuldner "&amp;AC105&amp;" %. ","")</f>
        <v/>
      </c>
      <c r="AD106" s="31" t="str">
        <f>IF(AD105&gt;0,"Beklagte zu 1), 2) und 4) als Gesamtschuldner "&amp;AD105&amp;" %. ","")</f>
        <v/>
      </c>
      <c r="AE106" s="31" t="str">
        <f>IF(AE105&gt;0,"Beklagte zu 1), 3) und 4) als Gesamtschuldner "&amp;AE105&amp;" %. ","")</f>
        <v/>
      </c>
      <c r="AF106" s="31" t="str">
        <f>IF(AF105&gt;0,"Beklagte zu 2), 3) und 4) als Gesamtschuldner "&amp;AF105&amp;" %. ","")</f>
        <v/>
      </c>
      <c r="AG106" s="31" t="str">
        <f>IF(AG105&gt;0,"Beklagte zu 1), 2), 3) und 4) als Gesamtschuldner "&amp;AG105&amp;" %. ","")</f>
        <v/>
      </c>
      <c r="AH106" s="31" t="str">
        <f>D106&amp;E106&amp;F106&amp;G106&amp;H106&amp;I106&amp;J106&amp;K106&amp;L106&amp;M106&amp;N106&amp;O106&amp;P106&amp;Q106&amp;R106&amp;S106&amp;T106&amp;U106&amp;V106&amp;W106&amp;X106&amp;Y106&amp;Z106&amp;AA106&amp;AB106&amp;AC106&amp;AD106&amp;AE106&amp;AF106&amp;AG106</f>
        <v/>
      </c>
    </row>
    <row r="107" spans="1:34" s="21" customFormat="1" x14ac:dyDescent="0.2">
      <c r="B107" s="33"/>
      <c r="C107" s="35"/>
      <c r="D107" s="34" t="s">
        <v>458</v>
      </c>
      <c r="E107" s="34"/>
      <c r="F107" s="34"/>
      <c r="G107" s="34"/>
      <c r="H107" s="34"/>
      <c r="I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H107" s="21" t="s">
        <v>607</v>
      </c>
    </row>
    <row r="108" spans="1:34" s="21" customFormat="1" x14ac:dyDescent="0.2">
      <c r="B108" s="33"/>
      <c r="C108" s="35"/>
      <c r="D108" s="34" t="s">
        <v>609</v>
      </c>
      <c r="E108" s="21" t="s">
        <v>610</v>
      </c>
      <c r="F108" s="34" t="s">
        <v>4</v>
      </c>
      <c r="G108" s="21" t="s">
        <v>8</v>
      </c>
      <c r="H108" s="21" t="s">
        <v>15</v>
      </c>
      <c r="I108" s="34" t="s">
        <v>14</v>
      </c>
      <c r="J108" s="33" t="s">
        <v>16</v>
      </c>
      <c r="K108" s="33" t="s">
        <v>17</v>
      </c>
      <c r="L108" s="33" t="s">
        <v>18</v>
      </c>
      <c r="M108" s="33" t="s">
        <v>23</v>
      </c>
      <c r="N108" s="33" t="s">
        <v>19</v>
      </c>
      <c r="O108" s="33" t="s">
        <v>20</v>
      </c>
      <c r="P108" s="33" t="s">
        <v>21</v>
      </c>
      <c r="Q108" s="33" t="s">
        <v>22</v>
      </c>
      <c r="R108" s="33" t="s">
        <v>24</v>
      </c>
      <c r="S108" s="34" t="s">
        <v>436</v>
      </c>
      <c r="T108" s="34" t="s">
        <v>437</v>
      </c>
      <c r="U108" s="34" t="s">
        <v>441</v>
      </c>
      <c r="V108" s="34" t="s">
        <v>442</v>
      </c>
      <c r="W108" s="21" t="s">
        <v>443</v>
      </c>
      <c r="X108" s="21" t="s">
        <v>444</v>
      </c>
      <c r="Y108" s="21" t="s">
        <v>445</v>
      </c>
      <c r="Z108" s="21" t="s">
        <v>446</v>
      </c>
      <c r="AA108" s="21" t="s">
        <v>447</v>
      </c>
      <c r="AB108" s="21" t="s">
        <v>448</v>
      </c>
      <c r="AC108" s="21" t="s">
        <v>449</v>
      </c>
      <c r="AD108" s="21" t="s">
        <v>450</v>
      </c>
      <c r="AE108" s="21" t="s">
        <v>451</v>
      </c>
      <c r="AF108" s="21" t="s">
        <v>452</v>
      </c>
      <c r="AG108" s="21" t="s">
        <v>453</v>
      </c>
    </row>
    <row r="109" spans="1:34" s="21" customFormat="1" x14ac:dyDescent="0.2">
      <c r="A109" s="32" t="s">
        <v>35</v>
      </c>
      <c r="B109" s="33"/>
      <c r="C109" s="35">
        <f>SUM(C67,C74,C81,C88)</f>
        <v>0</v>
      </c>
      <c r="D109" s="35"/>
      <c r="E109" s="35"/>
      <c r="F109" s="35">
        <f>SUM(G67,G74,G81,G88)</f>
        <v>0</v>
      </c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>
        <f>D67</f>
        <v>0</v>
      </c>
      <c r="T109" s="35">
        <f>D74</f>
        <v>0</v>
      </c>
      <c r="U109" s="35">
        <f>D81</f>
        <v>0</v>
      </c>
      <c r="V109" s="35">
        <f>D88</f>
        <v>0</v>
      </c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</row>
    <row r="110" spans="1:34" s="21" customFormat="1" x14ac:dyDescent="0.2">
      <c r="A110" s="21" t="s">
        <v>461</v>
      </c>
      <c r="B110" s="33"/>
      <c r="C110" s="35"/>
      <c r="D110" s="37"/>
      <c r="E110" s="37"/>
      <c r="F110" s="36">
        <f>IF($C109=0,0,ROUND(F109/$C109*100,1))</f>
        <v>0</v>
      </c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6">
        <f>IF($C109=0,0,ROUND(S109/$C109*100,1))</f>
        <v>0</v>
      </c>
      <c r="T110" s="36">
        <f>IF($C109=0,0,ROUND(T109/$C109*100,1))</f>
        <v>0</v>
      </c>
      <c r="U110" s="36">
        <f>IF($C109=0,0,ROUND(U109/$C109*100,1))</f>
        <v>0</v>
      </c>
      <c r="V110" s="36">
        <f>IF($C109=0,0,ROUND(V109/$C109*100,1))</f>
        <v>0</v>
      </c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5"/>
    </row>
    <row r="111" spans="1:34" s="21" customFormat="1" x14ac:dyDescent="0.2">
      <c r="A111" s="21" t="s">
        <v>463</v>
      </c>
      <c r="B111" s="33"/>
      <c r="C111" s="35"/>
      <c r="D111" s="31"/>
      <c r="E111" s="31"/>
      <c r="F111" s="31" t="str">
        <f>IF(F110&gt;0,"Drittwiderbeklagter zu 1) "&amp;F110&amp;" %. ","")</f>
        <v/>
      </c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 t="str">
        <f>IF(S110&gt;0,"Beklagter zu 1) "&amp;S110&amp;" %. ","")</f>
        <v/>
      </c>
      <c r="T111" s="31" t="str">
        <f>IF(T110&gt;0,"Beklagter zu 2) "&amp;T110&amp;" %. ","")</f>
        <v/>
      </c>
      <c r="U111" s="31" t="str">
        <f>IF(U110&gt;0,"Beklagter zu 3) "&amp;U110&amp;" %. ","")</f>
        <v/>
      </c>
      <c r="V111" s="31" t="str">
        <f>IF(V110&gt;0,"Beklagter zu 4) "&amp;V110&amp;" %. ","")</f>
        <v/>
      </c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 t="str">
        <f>D111&amp;E111&amp;F111&amp;G111&amp;H111&amp;I111&amp;J111&amp;K111&amp;L111&amp;M111&amp;N111&amp;O111&amp;P111&amp;Q111&amp;R111&amp;S111&amp;T111&amp;U111&amp;V111&amp;W111&amp;X111&amp;Y111&amp;Z111&amp;AA111&amp;AB111&amp;AC111&amp;AD111&amp;AE111&amp;AF111&amp;AG111</f>
        <v/>
      </c>
    </row>
    <row r="112" spans="1:34" s="21" customFormat="1" x14ac:dyDescent="0.2">
      <c r="B112" s="33"/>
      <c r="C112" s="35"/>
      <c r="D112" s="34" t="s">
        <v>458</v>
      </c>
      <c r="E112" s="34"/>
      <c r="F112" s="34"/>
      <c r="G112" s="34"/>
      <c r="H112" s="34"/>
      <c r="I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H112" s="21" t="s">
        <v>607</v>
      </c>
    </row>
    <row r="113" spans="1:34" s="21" customFormat="1" x14ac:dyDescent="0.2">
      <c r="B113" s="33"/>
      <c r="C113" s="35"/>
      <c r="D113" s="34" t="s">
        <v>609</v>
      </c>
      <c r="E113" s="21" t="s">
        <v>610</v>
      </c>
      <c r="F113" s="34" t="s">
        <v>4</v>
      </c>
      <c r="G113" s="21" t="s">
        <v>8</v>
      </c>
      <c r="H113" s="21" t="s">
        <v>15</v>
      </c>
      <c r="I113" s="34" t="s">
        <v>14</v>
      </c>
      <c r="J113" s="33" t="s">
        <v>16</v>
      </c>
      <c r="K113" s="33" t="s">
        <v>17</v>
      </c>
      <c r="L113" s="33" t="s">
        <v>18</v>
      </c>
      <c r="M113" s="33" t="s">
        <v>23</v>
      </c>
      <c r="N113" s="33" t="s">
        <v>19</v>
      </c>
      <c r="O113" s="33" t="s">
        <v>20</v>
      </c>
      <c r="P113" s="33" t="s">
        <v>21</v>
      </c>
      <c r="Q113" s="33" t="s">
        <v>22</v>
      </c>
      <c r="R113" s="33" t="s">
        <v>24</v>
      </c>
      <c r="S113" s="34" t="s">
        <v>436</v>
      </c>
      <c r="T113" s="34" t="s">
        <v>437</v>
      </c>
      <c r="U113" s="34" t="s">
        <v>441</v>
      </c>
      <c r="V113" s="34" t="s">
        <v>442</v>
      </c>
      <c r="W113" s="21" t="s">
        <v>443</v>
      </c>
      <c r="X113" s="21" t="s">
        <v>444</v>
      </c>
      <c r="Y113" s="21" t="s">
        <v>445</v>
      </c>
      <c r="Z113" s="21" t="s">
        <v>446</v>
      </c>
      <c r="AA113" s="21" t="s">
        <v>447</v>
      </c>
      <c r="AB113" s="21" t="s">
        <v>448</v>
      </c>
      <c r="AC113" s="21" t="s">
        <v>449</v>
      </c>
      <c r="AD113" s="21" t="s">
        <v>450</v>
      </c>
      <c r="AE113" s="21" t="s">
        <v>451</v>
      </c>
      <c r="AF113" s="21" t="s">
        <v>452</v>
      </c>
      <c r="AG113" s="21" t="s">
        <v>453</v>
      </c>
    </row>
    <row r="114" spans="1:34" s="21" customFormat="1" x14ac:dyDescent="0.2">
      <c r="A114" s="32" t="s">
        <v>36</v>
      </c>
      <c r="B114" s="33"/>
      <c r="C114" s="35">
        <f>SUM(C68,C75,C82,C89)</f>
        <v>0</v>
      </c>
      <c r="D114" s="35"/>
      <c r="E114" s="35"/>
      <c r="F114" s="35"/>
      <c r="G114" s="35">
        <f>SUM(H68,H75,H82,H89)</f>
        <v>0</v>
      </c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>
        <f>D68</f>
        <v>0</v>
      </c>
      <c r="T114" s="35">
        <f>D75</f>
        <v>0</v>
      </c>
      <c r="U114" s="35">
        <f>D82</f>
        <v>0</v>
      </c>
      <c r="V114" s="35">
        <f>D89</f>
        <v>0</v>
      </c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</row>
    <row r="115" spans="1:34" s="21" customFormat="1" x14ac:dyDescent="0.2">
      <c r="A115" s="21" t="s">
        <v>461</v>
      </c>
      <c r="B115" s="33"/>
      <c r="C115" s="35"/>
      <c r="D115" s="37"/>
      <c r="E115" s="37"/>
      <c r="F115" s="37"/>
      <c r="G115" s="36">
        <f>IF($C114=0,0,ROUND(G114/$C114*100,1))</f>
        <v>0</v>
      </c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6">
        <f>IF($C114=0,0,ROUND(S114/$C114*100,1))</f>
        <v>0</v>
      </c>
      <c r="T115" s="36">
        <f>IF($C114=0,0,ROUND(T114/$C114*100,1))</f>
        <v>0</v>
      </c>
      <c r="U115" s="36">
        <f>IF($C114=0,0,ROUND(U114/$C114*100,1))</f>
        <v>0</v>
      </c>
      <c r="V115" s="36">
        <f>IF($C114=0,0,ROUND(V114/$C114*100,1))</f>
        <v>0</v>
      </c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5"/>
    </row>
    <row r="116" spans="1:34" s="21" customFormat="1" x14ac:dyDescent="0.2">
      <c r="A116" s="21" t="s">
        <v>463</v>
      </c>
      <c r="B116" s="33"/>
      <c r="C116" s="35"/>
      <c r="D116" s="31"/>
      <c r="E116" s="31"/>
      <c r="F116" s="31"/>
      <c r="G116" s="31" t="str">
        <f>IF(G115&gt;0,"Drittwiderbeklagter zu 2) "&amp;G115&amp;" %. ","")</f>
        <v/>
      </c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 t="str">
        <f>IF(S115&gt;0,"Beklagter zu 1) "&amp;S115&amp;" %. ","")</f>
        <v/>
      </c>
      <c r="T116" s="31" t="str">
        <f>IF(T115&gt;0,"Beklagter zu 2) "&amp;T115&amp;" %. ","")</f>
        <v/>
      </c>
      <c r="U116" s="31" t="str">
        <f>IF(U115&gt;0,"Beklagter zu 3) "&amp;U115&amp;" %. ","")</f>
        <v/>
      </c>
      <c r="V116" s="31" t="str">
        <f>IF(V115&gt;0,"Beklagter zu 4) "&amp;V115&amp;" %. ","")</f>
        <v/>
      </c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 t="str">
        <f>D116&amp;E116&amp;F116&amp;G116&amp;H116&amp;I116&amp;J116&amp;K116&amp;L116&amp;M116&amp;N116&amp;O116&amp;P116&amp;Q116&amp;R116&amp;S116&amp;T116&amp;U116&amp;V116&amp;W116&amp;X116&amp;Y116&amp;Z116&amp;AA116&amp;AB116&amp;AC116&amp;AD116&amp;AE116&amp;AF116&amp;AG116</f>
        <v/>
      </c>
    </row>
    <row r="117" spans="1:34" s="21" customFormat="1" x14ac:dyDescent="0.2">
      <c r="B117" s="33"/>
      <c r="C117" s="35"/>
      <c r="D117" s="34" t="s">
        <v>458</v>
      </c>
      <c r="E117" s="34"/>
      <c r="F117" s="34"/>
      <c r="G117" s="34"/>
      <c r="H117" s="34"/>
      <c r="I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H117" s="21" t="s">
        <v>607</v>
      </c>
    </row>
    <row r="118" spans="1:34" s="21" customFormat="1" x14ac:dyDescent="0.2">
      <c r="B118" s="33"/>
      <c r="C118" s="35"/>
      <c r="D118" s="34" t="s">
        <v>609</v>
      </c>
      <c r="E118" s="21" t="s">
        <v>610</v>
      </c>
      <c r="F118" s="34" t="s">
        <v>4</v>
      </c>
      <c r="G118" s="21" t="s">
        <v>8</v>
      </c>
      <c r="H118" s="21" t="s">
        <v>15</v>
      </c>
      <c r="I118" s="34" t="s">
        <v>14</v>
      </c>
      <c r="J118" s="33" t="s">
        <v>16</v>
      </c>
      <c r="K118" s="33" t="s">
        <v>17</v>
      </c>
      <c r="L118" s="33" t="s">
        <v>18</v>
      </c>
      <c r="M118" s="33" t="s">
        <v>23</v>
      </c>
      <c r="N118" s="33" t="s">
        <v>19</v>
      </c>
      <c r="O118" s="33" t="s">
        <v>20</v>
      </c>
      <c r="P118" s="33" t="s">
        <v>21</v>
      </c>
      <c r="Q118" s="33" t="s">
        <v>22</v>
      </c>
      <c r="R118" s="33" t="s">
        <v>24</v>
      </c>
      <c r="S118" s="34" t="s">
        <v>436</v>
      </c>
      <c r="T118" s="34" t="s">
        <v>437</v>
      </c>
      <c r="U118" s="34" t="s">
        <v>441</v>
      </c>
      <c r="V118" s="34" t="s">
        <v>442</v>
      </c>
      <c r="W118" s="21" t="s">
        <v>443</v>
      </c>
      <c r="X118" s="21" t="s">
        <v>444</v>
      </c>
      <c r="Y118" s="21" t="s">
        <v>445</v>
      </c>
      <c r="Z118" s="21" t="s">
        <v>446</v>
      </c>
      <c r="AA118" s="21" t="s">
        <v>447</v>
      </c>
      <c r="AB118" s="21" t="s">
        <v>448</v>
      </c>
      <c r="AC118" s="21" t="s">
        <v>449</v>
      </c>
      <c r="AD118" s="21" t="s">
        <v>450</v>
      </c>
      <c r="AE118" s="21" t="s">
        <v>451</v>
      </c>
      <c r="AF118" s="21" t="s">
        <v>452</v>
      </c>
      <c r="AG118" s="21" t="s">
        <v>453</v>
      </c>
    </row>
    <row r="119" spans="1:34" s="21" customFormat="1" x14ac:dyDescent="0.2">
      <c r="A119" s="21" t="s">
        <v>454</v>
      </c>
      <c r="B119" s="33"/>
      <c r="C119" s="35">
        <f>SUM(C51,C58,C64)</f>
        <v>0</v>
      </c>
      <c r="D119" s="35">
        <f>SUM(D51,E64)</f>
        <v>0</v>
      </c>
      <c r="E119" s="35">
        <f>SUM(D58,F64)</f>
        <v>0</v>
      </c>
      <c r="F119" s="35">
        <f>G64</f>
        <v>0</v>
      </c>
      <c r="G119" s="35">
        <f>H64</f>
        <v>0</v>
      </c>
      <c r="H119" s="35">
        <f>I64</f>
        <v>0</v>
      </c>
      <c r="I119" s="35">
        <f>J64</f>
        <v>0</v>
      </c>
      <c r="J119" s="35">
        <f t="shared" ref="J119:R119" si="13">K64</f>
        <v>0</v>
      </c>
      <c r="K119" s="35">
        <f t="shared" si="13"/>
        <v>0</v>
      </c>
      <c r="L119" s="35">
        <f t="shared" si="13"/>
        <v>0</v>
      </c>
      <c r="M119" s="35">
        <f t="shared" si="13"/>
        <v>0</v>
      </c>
      <c r="N119" s="35">
        <f t="shared" si="13"/>
        <v>0</v>
      </c>
      <c r="O119" s="35">
        <f t="shared" si="13"/>
        <v>0</v>
      </c>
      <c r="P119" s="35">
        <f t="shared" si="13"/>
        <v>0</v>
      </c>
      <c r="Q119" s="35">
        <f t="shared" si="13"/>
        <v>0</v>
      </c>
      <c r="R119" s="35">
        <f t="shared" si="13"/>
        <v>0</v>
      </c>
      <c r="S119" s="35">
        <f>SUM(E51,E58,D64)</f>
        <v>0</v>
      </c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</row>
    <row r="120" spans="1:34" s="21" customFormat="1" x14ac:dyDescent="0.2">
      <c r="A120" s="21" t="s">
        <v>461</v>
      </c>
      <c r="B120" s="33"/>
      <c r="C120" s="35"/>
      <c r="D120" s="36">
        <f t="shared" ref="D120:R120" si="14">IF($C119=0,0,ROUND(D119/$C119*100,1))</f>
        <v>0</v>
      </c>
      <c r="E120" s="36">
        <f t="shared" si="14"/>
        <v>0</v>
      </c>
      <c r="F120" s="36">
        <f t="shared" si="14"/>
        <v>0</v>
      </c>
      <c r="G120" s="36">
        <f t="shared" si="14"/>
        <v>0</v>
      </c>
      <c r="H120" s="36">
        <f t="shared" si="14"/>
        <v>0</v>
      </c>
      <c r="I120" s="36">
        <f t="shared" si="14"/>
        <v>0</v>
      </c>
      <c r="J120" s="36">
        <f t="shared" si="14"/>
        <v>0</v>
      </c>
      <c r="K120" s="36">
        <f t="shared" si="14"/>
        <v>0</v>
      </c>
      <c r="L120" s="36">
        <f t="shared" si="14"/>
        <v>0</v>
      </c>
      <c r="M120" s="36">
        <f t="shared" si="14"/>
        <v>0</v>
      </c>
      <c r="N120" s="36">
        <f t="shared" si="14"/>
        <v>0</v>
      </c>
      <c r="O120" s="36">
        <f t="shared" si="14"/>
        <v>0</v>
      </c>
      <c r="P120" s="36">
        <f t="shared" si="14"/>
        <v>0</v>
      </c>
      <c r="Q120" s="36">
        <f t="shared" si="14"/>
        <v>0</v>
      </c>
      <c r="R120" s="36">
        <f t="shared" si="14"/>
        <v>0</v>
      </c>
      <c r="S120" s="36">
        <f>IF($C119=0,0,ROUND(S119/$C119*100,1))</f>
        <v>0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5"/>
    </row>
    <row r="121" spans="1:34" s="21" customFormat="1" x14ac:dyDescent="0.2">
      <c r="A121" s="21" t="s">
        <v>463</v>
      </c>
      <c r="B121" s="33"/>
      <c r="C121" s="35"/>
      <c r="D121" s="31" t="str">
        <f>IF(D120&gt;0,"Kläger zu 1) "&amp;D120&amp;" %. ","")</f>
        <v/>
      </c>
      <c r="E121" s="31" t="str">
        <f>IF(E120&gt;0,"Kläger zu 2) "&amp;E120&amp;" %. ","")</f>
        <v/>
      </c>
      <c r="F121" s="31" t="str">
        <f>IF(F120&gt;0,"Drittwiderbeklagter zu 1) "&amp;F120&amp;" %. ","")</f>
        <v/>
      </c>
      <c r="G121" s="31" t="str">
        <f>IF(G120&gt;0,"Drittwiderbeklagter zu 2) "&amp;G120&amp;" %. ","")</f>
        <v/>
      </c>
      <c r="H121" s="31" t="str">
        <f>IF(H120&gt;0,"Kläger zu 1) und 2) als Gesamtschuldner "&amp;H120&amp;" %. ","")</f>
        <v/>
      </c>
      <c r="I121" s="31" t="str">
        <f>IF(I120&gt;0,"Kläger zu 1) und Drittwiderbeklagter zu 1) als Gesamtschuldner "&amp;I120&amp;" %. ","")</f>
        <v/>
      </c>
      <c r="J121" s="31" t="str">
        <f>IF(J120&gt;0,"Kläger zu 1) und Drittwiderbeklagter zu 2) als Gesamtschuldner "&amp;J120&amp;" %. ","")</f>
        <v/>
      </c>
      <c r="K121" s="31" t="str">
        <f>IF(K120&gt;0,"Kläger zu 2) und Drittwiderbeklagter zu 1) als Gesamtschuldner "&amp;K120&amp;" %. ","")</f>
        <v/>
      </c>
      <c r="L121" s="31" t="str">
        <f>IF(L120&gt;0,"Kläger zu 2) und Drittwiderbeklagter zu 2) als Gesamtschuldner "&amp;L120&amp;" %. ","")</f>
        <v/>
      </c>
      <c r="M121" s="31" t="str">
        <f>IF(M120&gt;0,"Drittwiderbeklagte zu 1) und 2) als Gesamtschuldner "&amp;M120&amp;" %. ","")</f>
        <v/>
      </c>
      <c r="N121" s="31" t="str">
        <f>IF(N120&gt;0,"Kläger zu 1) und 2) und Drittwiderbeklagter zu 1) als Gesamtschuldner "&amp;N120&amp;" %. ","")</f>
        <v/>
      </c>
      <c r="O121" s="31" t="str">
        <f>IF(O120&gt;0,"Kläger zu 1) und 2) und Drittwiderbeklagter zu 2) als Gesamtschuldner "&amp;O120&amp;" %. ","")</f>
        <v/>
      </c>
      <c r="P121" s="31" t="str">
        <f>IF(P120&gt;0,"Kläger zu 1) und Drittwiderbeklagte zu 1) und 2) als Gesamtschuldner "&amp;P120&amp;" %. ","")</f>
        <v/>
      </c>
      <c r="Q121" s="31" t="str">
        <f>IF(Q120&gt;0,"Kläger zu 2) und Drittwiderbeklagte zu 1) und 2) als Gesamtschuldner "&amp;Q120&amp;" %. ","")</f>
        <v/>
      </c>
      <c r="R121" s="31" t="str">
        <f>IF(R120&gt;0,"Kläger zu 1) und 2) und Drittwiderbeklagte zu 1) und 2) als Gesamtschuldner "&amp;R120&amp;" %. ","")</f>
        <v/>
      </c>
      <c r="S121" s="31" t="str">
        <f>IF(S120&gt;0,"Beklagter zu 1) "&amp;S120&amp;" %. ","")</f>
        <v/>
      </c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 t="str">
        <f>D121&amp;E121&amp;F121&amp;G121&amp;H121&amp;I121&amp;J121&amp;K121&amp;L121&amp;M121&amp;N121&amp;O121&amp;P121&amp;Q121&amp;R121&amp;S121&amp;T121&amp;U121&amp;V121&amp;W121&amp;X121&amp;Y121&amp;Z121&amp;AA121&amp;AB121&amp;AC121&amp;AD121&amp;AE121&amp;AF121&amp;AG121</f>
        <v/>
      </c>
    </row>
    <row r="122" spans="1:34" s="21" customFormat="1" x14ac:dyDescent="0.2">
      <c r="B122" s="33"/>
      <c r="C122" s="31"/>
      <c r="D122" s="34" t="s">
        <v>458</v>
      </c>
      <c r="E122" s="34"/>
      <c r="F122" s="34"/>
      <c r="G122" s="34"/>
      <c r="H122" s="34"/>
      <c r="I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H122" s="21" t="s">
        <v>607</v>
      </c>
    </row>
    <row r="123" spans="1:34" s="21" customFormat="1" x14ac:dyDescent="0.2">
      <c r="B123" s="33"/>
      <c r="C123" s="31"/>
      <c r="D123" s="34" t="s">
        <v>609</v>
      </c>
      <c r="E123" s="21" t="s">
        <v>610</v>
      </c>
      <c r="F123" s="34" t="s">
        <v>4</v>
      </c>
      <c r="G123" s="21" t="s">
        <v>8</v>
      </c>
      <c r="H123" s="21" t="s">
        <v>15</v>
      </c>
      <c r="I123" s="34" t="s">
        <v>14</v>
      </c>
      <c r="J123" s="33" t="s">
        <v>16</v>
      </c>
      <c r="K123" s="33" t="s">
        <v>17</v>
      </c>
      <c r="L123" s="33" t="s">
        <v>18</v>
      </c>
      <c r="M123" s="33" t="s">
        <v>23</v>
      </c>
      <c r="N123" s="33" t="s">
        <v>19</v>
      </c>
      <c r="O123" s="33" t="s">
        <v>20</v>
      </c>
      <c r="P123" s="33" t="s">
        <v>21</v>
      </c>
      <c r="Q123" s="33" t="s">
        <v>22</v>
      </c>
      <c r="R123" s="33" t="s">
        <v>24</v>
      </c>
      <c r="S123" s="34" t="s">
        <v>436</v>
      </c>
      <c r="T123" s="34" t="s">
        <v>437</v>
      </c>
      <c r="U123" s="34" t="s">
        <v>441</v>
      </c>
      <c r="V123" s="34" t="s">
        <v>442</v>
      </c>
      <c r="W123" s="21" t="s">
        <v>443</v>
      </c>
      <c r="X123" s="21" t="s">
        <v>444</v>
      </c>
      <c r="Y123" s="21" t="s">
        <v>445</v>
      </c>
      <c r="Z123" s="21" t="s">
        <v>446</v>
      </c>
      <c r="AA123" s="21" t="s">
        <v>447</v>
      </c>
      <c r="AB123" s="21" t="s">
        <v>448</v>
      </c>
      <c r="AC123" s="21" t="s">
        <v>449</v>
      </c>
      <c r="AD123" s="21" t="s">
        <v>450</v>
      </c>
      <c r="AE123" s="21" t="s">
        <v>451</v>
      </c>
      <c r="AF123" s="21" t="s">
        <v>452</v>
      </c>
      <c r="AG123" s="21" t="s">
        <v>453</v>
      </c>
    </row>
    <row r="124" spans="1:34" s="21" customFormat="1" x14ac:dyDescent="0.2">
      <c r="A124" s="21" t="s">
        <v>455</v>
      </c>
      <c r="B124" s="33"/>
      <c r="C124" s="35">
        <f>SUM(C52,C59,C71)</f>
        <v>0</v>
      </c>
      <c r="D124" s="35">
        <f>SUM(D52,E71)</f>
        <v>0</v>
      </c>
      <c r="E124" s="35">
        <f>SUM(D59,F71)</f>
        <v>0</v>
      </c>
      <c r="F124" s="35">
        <f>G71</f>
        <v>0</v>
      </c>
      <c r="G124" s="35">
        <f>H71</f>
        <v>0</v>
      </c>
      <c r="H124" s="35">
        <f>I71</f>
        <v>0</v>
      </c>
      <c r="I124" s="35">
        <f>J71</f>
        <v>0</v>
      </c>
      <c r="J124" s="35">
        <f t="shared" ref="J124:R124" si="15">K71</f>
        <v>0</v>
      </c>
      <c r="K124" s="35">
        <f t="shared" si="15"/>
        <v>0</v>
      </c>
      <c r="L124" s="35">
        <f t="shared" si="15"/>
        <v>0</v>
      </c>
      <c r="M124" s="35">
        <f t="shared" si="15"/>
        <v>0</v>
      </c>
      <c r="N124" s="35">
        <f t="shared" si="15"/>
        <v>0</v>
      </c>
      <c r="O124" s="35">
        <f t="shared" si="15"/>
        <v>0</v>
      </c>
      <c r="P124" s="35">
        <f t="shared" si="15"/>
        <v>0</v>
      </c>
      <c r="Q124" s="35">
        <f t="shared" si="15"/>
        <v>0</v>
      </c>
      <c r="R124" s="35">
        <f t="shared" si="15"/>
        <v>0</v>
      </c>
      <c r="S124" s="35"/>
      <c r="T124" s="35">
        <f>SUM(F52,F59,D71)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</row>
    <row r="125" spans="1:34" s="21" customFormat="1" x14ac:dyDescent="0.2">
      <c r="A125" s="21" t="s">
        <v>461</v>
      </c>
      <c r="B125" s="33"/>
      <c r="C125" s="35"/>
      <c r="D125" s="36">
        <f t="shared" ref="D125:R125" si="16">IF($C124=0,0,ROUND(D124/$C124*100,1))</f>
        <v>0</v>
      </c>
      <c r="E125" s="36">
        <f t="shared" si="16"/>
        <v>0</v>
      </c>
      <c r="F125" s="36">
        <f t="shared" si="16"/>
        <v>0</v>
      </c>
      <c r="G125" s="36">
        <f t="shared" si="16"/>
        <v>0</v>
      </c>
      <c r="H125" s="36">
        <f t="shared" si="16"/>
        <v>0</v>
      </c>
      <c r="I125" s="36">
        <f t="shared" si="16"/>
        <v>0</v>
      </c>
      <c r="J125" s="36">
        <f t="shared" si="16"/>
        <v>0</v>
      </c>
      <c r="K125" s="36">
        <f t="shared" si="16"/>
        <v>0</v>
      </c>
      <c r="L125" s="36">
        <f t="shared" si="16"/>
        <v>0</v>
      </c>
      <c r="M125" s="36">
        <f t="shared" si="16"/>
        <v>0</v>
      </c>
      <c r="N125" s="36">
        <f t="shared" si="16"/>
        <v>0</v>
      </c>
      <c r="O125" s="36">
        <f t="shared" si="16"/>
        <v>0</v>
      </c>
      <c r="P125" s="36">
        <f t="shared" si="16"/>
        <v>0</v>
      </c>
      <c r="Q125" s="36">
        <f t="shared" si="16"/>
        <v>0</v>
      </c>
      <c r="R125" s="36">
        <f t="shared" si="16"/>
        <v>0</v>
      </c>
      <c r="S125" s="37"/>
      <c r="T125" s="36">
        <f>IF($C124=0,0,ROUND(T124/$C124*100,1))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5"/>
    </row>
    <row r="126" spans="1:34" s="21" customFormat="1" x14ac:dyDescent="0.2">
      <c r="A126" s="21" t="s">
        <v>463</v>
      </c>
      <c r="B126" s="33"/>
      <c r="C126" s="35"/>
      <c r="D126" s="31" t="str">
        <f>IF(D125&gt;0,"Kläger zu 1) "&amp;D125&amp;" %. ","")</f>
        <v/>
      </c>
      <c r="E126" s="31" t="str">
        <f>IF(E125&gt;0,"Kläger zu 2) "&amp;E125&amp;" %. ","")</f>
        <v/>
      </c>
      <c r="F126" s="31" t="str">
        <f>IF(F125&gt;0,"Drittwiderbeklagter zu 1) "&amp;F125&amp;" %. ","")</f>
        <v/>
      </c>
      <c r="G126" s="31" t="str">
        <f>IF(G125&gt;0,"Drittwiderbeklagter zu 2) "&amp;G125&amp;" %. ","")</f>
        <v/>
      </c>
      <c r="H126" s="31" t="str">
        <f>IF(H125&gt;0,"Kläger zu 1) und 2) als Gesamtschuldner "&amp;H125&amp;" %. ","")</f>
        <v/>
      </c>
      <c r="I126" s="31" t="str">
        <f>IF(I125&gt;0,"Kläger zu 1) und Drittwiderbeklagter zu 1) als Gesamtschuldner "&amp;I125&amp;" %. ","")</f>
        <v/>
      </c>
      <c r="J126" s="31" t="str">
        <f>IF(J125&gt;0,"Kläger zu 1) und Drittwiderbeklagter zu 2) als Gesamtschuldner "&amp;J125&amp;" %. ","")</f>
        <v/>
      </c>
      <c r="K126" s="31" t="str">
        <f>IF(K125&gt;0,"Kläger zu 2) und Drittwiderbeklagter zu 1) als Gesamtschuldner "&amp;K125&amp;" %. ","")</f>
        <v/>
      </c>
      <c r="L126" s="31" t="str">
        <f>IF(L125&gt;0,"Kläger zu 2) und Drittwiderbeklagter zu 2) als Gesamtschuldner "&amp;L125&amp;" %. ","")</f>
        <v/>
      </c>
      <c r="M126" s="31" t="str">
        <f>IF(M125&gt;0,"Drittwiderbeklagte zu 1) und 2) als Gesamtschuldner "&amp;M125&amp;" %. ","")</f>
        <v/>
      </c>
      <c r="N126" s="31" t="str">
        <f>IF(N125&gt;0,"Kläger zu 1) und 2) und Drittwiderbeklagter zu 1) als Gesamtschuldner "&amp;N125&amp;" %. ","")</f>
        <v/>
      </c>
      <c r="O126" s="31" t="str">
        <f>IF(O125&gt;0,"Kläger zu 1) und 2) und Drittwiderbeklagter zu 2) als Gesamtschuldner "&amp;O125&amp;" %. ","")</f>
        <v/>
      </c>
      <c r="P126" s="31" t="str">
        <f>IF(P125&gt;0,"Kläger zu 1) und Drittwiderbeklagte zu 1) und 2) als Gesamtschuldner "&amp;P125&amp;" %. ","")</f>
        <v/>
      </c>
      <c r="Q126" s="31" t="str">
        <f>IF(Q125&gt;0,"Kläger zu 2) und Drittwiderbeklagte zu 1) und 2) als Gesamtschuldner "&amp;Q125&amp;" %. ","")</f>
        <v/>
      </c>
      <c r="R126" s="31" t="str">
        <f>IF(R125&gt;0,"Kläger zu 1) und 2) und Drittwiderbeklagte zu 1) und 2) als Gesamtschuldner "&amp;R125&amp;" %. ","")</f>
        <v/>
      </c>
      <c r="S126" s="31"/>
      <c r="T126" s="31" t="str">
        <f>IF(T125&gt;0,"Beklagter zu 2) "&amp;T125&amp;" %. ","")</f>
        <v/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 t="str">
        <f>D126&amp;E126&amp;F126&amp;G126&amp;H126&amp;I126&amp;J126&amp;K126&amp;L126&amp;M126&amp;N126&amp;O126&amp;P126&amp;Q126&amp;R126&amp;S126&amp;T126&amp;U126&amp;V126&amp;W126&amp;X126&amp;Y126&amp;Z126&amp;AA126&amp;AB126&amp;AC126&amp;AD126&amp;AE126&amp;AF126&amp;AG126</f>
        <v/>
      </c>
    </row>
    <row r="127" spans="1:34" s="21" customFormat="1" x14ac:dyDescent="0.2">
      <c r="B127" s="33"/>
      <c r="C127" s="35"/>
      <c r="D127" s="34" t="s">
        <v>458</v>
      </c>
      <c r="E127" s="34"/>
      <c r="F127" s="34"/>
      <c r="G127" s="34"/>
      <c r="H127" s="34"/>
      <c r="I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H127" s="21" t="s">
        <v>607</v>
      </c>
    </row>
    <row r="128" spans="1:34" s="21" customFormat="1" x14ac:dyDescent="0.2">
      <c r="B128" s="33"/>
      <c r="C128" s="35"/>
      <c r="D128" s="34" t="s">
        <v>609</v>
      </c>
      <c r="E128" s="21" t="s">
        <v>610</v>
      </c>
      <c r="F128" s="34" t="s">
        <v>4</v>
      </c>
      <c r="G128" s="21" t="s">
        <v>8</v>
      </c>
      <c r="H128" s="21" t="s">
        <v>15</v>
      </c>
      <c r="I128" s="34" t="s">
        <v>14</v>
      </c>
      <c r="J128" s="33" t="s">
        <v>16</v>
      </c>
      <c r="K128" s="33" t="s">
        <v>17</v>
      </c>
      <c r="L128" s="33" t="s">
        <v>18</v>
      </c>
      <c r="M128" s="33" t="s">
        <v>23</v>
      </c>
      <c r="N128" s="33" t="s">
        <v>19</v>
      </c>
      <c r="O128" s="33" t="s">
        <v>20</v>
      </c>
      <c r="P128" s="33" t="s">
        <v>21</v>
      </c>
      <c r="Q128" s="33" t="s">
        <v>22</v>
      </c>
      <c r="R128" s="33" t="s">
        <v>24</v>
      </c>
      <c r="S128" s="34" t="s">
        <v>436</v>
      </c>
      <c r="T128" s="34" t="s">
        <v>437</v>
      </c>
      <c r="U128" s="34" t="s">
        <v>441</v>
      </c>
      <c r="V128" s="34" t="s">
        <v>442</v>
      </c>
      <c r="W128" s="21" t="s">
        <v>443</v>
      </c>
      <c r="X128" s="21" t="s">
        <v>444</v>
      </c>
      <c r="Y128" s="21" t="s">
        <v>445</v>
      </c>
      <c r="Z128" s="21" t="s">
        <v>446</v>
      </c>
      <c r="AA128" s="21" t="s">
        <v>447</v>
      </c>
      <c r="AB128" s="21" t="s">
        <v>448</v>
      </c>
      <c r="AC128" s="21" t="s">
        <v>449</v>
      </c>
      <c r="AD128" s="21" t="s">
        <v>450</v>
      </c>
      <c r="AE128" s="21" t="s">
        <v>451</v>
      </c>
      <c r="AF128" s="21" t="s">
        <v>452</v>
      </c>
      <c r="AG128" s="21" t="s">
        <v>453</v>
      </c>
    </row>
    <row r="129" spans="1:34" s="21" customFormat="1" x14ac:dyDescent="0.2">
      <c r="A129" s="21" t="s">
        <v>456</v>
      </c>
      <c r="B129" s="33"/>
      <c r="C129" s="35">
        <f>SUM(C53,C60,C78)</f>
        <v>0</v>
      </c>
      <c r="D129" s="35">
        <f>SUM(D53,E78)</f>
        <v>0</v>
      </c>
      <c r="E129" s="35">
        <f>SUM(D60,F78)</f>
        <v>0</v>
      </c>
      <c r="F129" s="35">
        <f>G78</f>
        <v>0</v>
      </c>
      <c r="G129" s="35">
        <f>H78</f>
        <v>0</v>
      </c>
      <c r="H129" s="35">
        <f>I78</f>
        <v>0</v>
      </c>
      <c r="I129" s="35">
        <f>J78</f>
        <v>0</v>
      </c>
      <c r="J129" s="35">
        <f t="shared" ref="J129:R129" si="17">K78</f>
        <v>0</v>
      </c>
      <c r="K129" s="35">
        <f t="shared" si="17"/>
        <v>0</v>
      </c>
      <c r="L129" s="35">
        <f t="shared" si="17"/>
        <v>0</v>
      </c>
      <c r="M129" s="35">
        <f t="shared" si="17"/>
        <v>0</v>
      </c>
      <c r="N129" s="35">
        <f t="shared" si="17"/>
        <v>0</v>
      </c>
      <c r="O129" s="35">
        <f t="shared" si="17"/>
        <v>0</v>
      </c>
      <c r="P129" s="35">
        <f t="shared" si="17"/>
        <v>0</v>
      </c>
      <c r="Q129" s="35">
        <f t="shared" si="17"/>
        <v>0</v>
      </c>
      <c r="R129" s="35">
        <f t="shared" si="17"/>
        <v>0</v>
      </c>
      <c r="S129" s="35"/>
      <c r="T129" s="35"/>
      <c r="U129" s="35">
        <f>SUM(G53,G60,D78)</f>
        <v>0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</row>
    <row r="130" spans="1:34" s="21" customFormat="1" x14ac:dyDescent="0.2">
      <c r="A130" s="21" t="s">
        <v>461</v>
      </c>
      <c r="B130" s="33"/>
      <c r="C130" s="35"/>
      <c r="D130" s="36">
        <f t="shared" ref="D130:R130" si="18">IF($C129=0,0,ROUND(D129/$C129*100,1))</f>
        <v>0</v>
      </c>
      <c r="E130" s="36">
        <f t="shared" si="18"/>
        <v>0</v>
      </c>
      <c r="F130" s="36">
        <f t="shared" si="18"/>
        <v>0</v>
      </c>
      <c r="G130" s="36">
        <f t="shared" si="18"/>
        <v>0</v>
      </c>
      <c r="H130" s="36">
        <f t="shared" si="18"/>
        <v>0</v>
      </c>
      <c r="I130" s="36">
        <f t="shared" si="18"/>
        <v>0</v>
      </c>
      <c r="J130" s="36">
        <f t="shared" si="18"/>
        <v>0</v>
      </c>
      <c r="K130" s="36">
        <f t="shared" si="18"/>
        <v>0</v>
      </c>
      <c r="L130" s="36">
        <f t="shared" si="18"/>
        <v>0</v>
      </c>
      <c r="M130" s="36">
        <f t="shared" si="18"/>
        <v>0</v>
      </c>
      <c r="N130" s="36">
        <f t="shared" si="18"/>
        <v>0</v>
      </c>
      <c r="O130" s="36">
        <f t="shared" si="18"/>
        <v>0</v>
      </c>
      <c r="P130" s="36">
        <f t="shared" si="18"/>
        <v>0</v>
      </c>
      <c r="Q130" s="36">
        <f t="shared" si="18"/>
        <v>0</v>
      </c>
      <c r="R130" s="36">
        <f t="shared" si="18"/>
        <v>0</v>
      </c>
      <c r="S130" s="37"/>
      <c r="T130" s="37"/>
      <c r="U130" s="36">
        <f>IF($C129=0,0,ROUND(U129/$C129*100,1))</f>
        <v>0</v>
      </c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5"/>
    </row>
    <row r="131" spans="1:34" s="21" customFormat="1" x14ac:dyDescent="0.2">
      <c r="A131" s="21" t="s">
        <v>463</v>
      </c>
      <c r="B131" s="33"/>
      <c r="C131" s="35"/>
      <c r="D131" s="31" t="str">
        <f>IF(D130&gt;0,"Kläger zu 1) "&amp;D130&amp;" %. ","")</f>
        <v/>
      </c>
      <c r="E131" s="31" t="str">
        <f>IF(E130&gt;0,"Kläger zu 2) "&amp;E130&amp;" %. ","")</f>
        <v/>
      </c>
      <c r="F131" s="31" t="str">
        <f>IF(F130&gt;0,"Drittwiderbeklagter zu 1) "&amp;F130&amp;" %. ","")</f>
        <v/>
      </c>
      <c r="G131" s="31" t="str">
        <f>IF(G130&gt;0,"Drittwiderbeklagter zu 2) "&amp;G130&amp;" %. ","")</f>
        <v/>
      </c>
      <c r="H131" s="31" t="str">
        <f>IF(H130&gt;0,"Kläger zu 1) und 2) als Gesamtschuldner "&amp;H130&amp;" %. ","")</f>
        <v/>
      </c>
      <c r="I131" s="31" t="str">
        <f>IF(I130&gt;0,"Kläger zu 1) und Drittwiderbeklagter zu 1) als Gesamtschuldner "&amp;I130&amp;" %. ","")</f>
        <v/>
      </c>
      <c r="J131" s="31" t="str">
        <f>IF(J130&gt;0,"Kläger zu 1) und Drittwiderbeklagter zu 2) als Gesamtschuldner "&amp;J130&amp;" %. ","")</f>
        <v/>
      </c>
      <c r="K131" s="31" t="str">
        <f>IF(K130&gt;0,"Kläger zu 2) und Drittwiderbeklagter zu 1) als Gesamtschuldner "&amp;K130&amp;" %. ","")</f>
        <v/>
      </c>
      <c r="L131" s="31" t="str">
        <f>IF(L130&gt;0,"Kläger zu 2) und Drittwiderbeklagter zu 2) als Gesamtschuldner "&amp;L130&amp;" %. ","")</f>
        <v/>
      </c>
      <c r="M131" s="31" t="str">
        <f>IF(M130&gt;0,"Drittwiderbeklagte zu 1) und 2) als Gesamtschuldner "&amp;M130&amp;" %. ","")</f>
        <v/>
      </c>
      <c r="N131" s="31" t="str">
        <f>IF(N130&gt;0,"Kläger zu 1) und 2) und Drittwiderbeklagter zu 1) als Gesamtschuldner "&amp;N130&amp;" %. ","")</f>
        <v/>
      </c>
      <c r="O131" s="31" t="str">
        <f>IF(O130&gt;0,"Kläger zu 1) und 2) und Drittwiderbeklagter zu 2) als Gesamtschuldner "&amp;O130&amp;" %. ","")</f>
        <v/>
      </c>
      <c r="P131" s="31" t="str">
        <f>IF(P130&gt;0,"Kläger zu 1) und Drittwiderbeklagte zu 1) und 2) als Gesamtschuldner "&amp;P130&amp;" %. ","")</f>
        <v/>
      </c>
      <c r="Q131" s="31" t="str">
        <f>IF(Q130&gt;0,"Kläger zu 2) und Drittwiderbeklagte zu 1) und 2) als Gesamtschuldner "&amp;Q130&amp;" %. ","")</f>
        <v/>
      </c>
      <c r="R131" s="31" t="str">
        <f>IF(R130&gt;0,"Kläger zu 1) und 2) und Drittwiderbeklagte zu 1) und 2) als Gesamtschuldner "&amp;R130&amp;" %. ","")</f>
        <v/>
      </c>
      <c r="S131" s="31"/>
      <c r="T131" s="31"/>
      <c r="U131" s="31" t="str">
        <f>IF(U130&gt;0,"Beklagter zu 3) "&amp;U130&amp;" %. ","")</f>
        <v/>
      </c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 t="str">
        <f>D131&amp;E131&amp;F131&amp;G131&amp;H131&amp;I131&amp;J131&amp;K131&amp;L131&amp;M131&amp;N131&amp;O131&amp;P131&amp;Q131&amp;R131&amp;S131&amp;T131&amp;U131&amp;V131&amp;W131&amp;X131&amp;Y131&amp;Z131&amp;AA131&amp;AB131&amp;AC131&amp;AD131&amp;AE131&amp;AF131&amp;AG131</f>
        <v/>
      </c>
    </row>
    <row r="132" spans="1:34" s="21" customFormat="1" x14ac:dyDescent="0.2">
      <c r="B132" s="33"/>
      <c r="C132" s="35"/>
      <c r="D132" s="34" t="s">
        <v>458</v>
      </c>
      <c r="E132" s="34"/>
      <c r="F132" s="34"/>
      <c r="G132" s="34"/>
      <c r="H132" s="34"/>
      <c r="I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H132" s="21" t="s">
        <v>607</v>
      </c>
    </row>
    <row r="133" spans="1:34" s="21" customFormat="1" x14ac:dyDescent="0.2">
      <c r="B133" s="33"/>
      <c r="C133" s="35"/>
      <c r="D133" s="34" t="s">
        <v>609</v>
      </c>
      <c r="E133" s="21" t="s">
        <v>610</v>
      </c>
      <c r="F133" s="34" t="s">
        <v>4</v>
      </c>
      <c r="G133" s="21" t="s">
        <v>8</v>
      </c>
      <c r="H133" s="21" t="s">
        <v>15</v>
      </c>
      <c r="I133" s="34" t="s">
        <v>14</v>
      </c>
      <c r="J133" s="33" t="s">
        <v>16</v>
      </c>
      <c r="K133" s="33" t="s">
        <v>17</v>
      </c>
      <c r="L133" s="33" t="s">
        <v>18</v>
      </c>
      <c r="M133" s="33" t="s">
        <v>23</v>
      </c>
      <c r="N133" s="33" t="s">
        <v>19</v>
      </c>
      <c r="O133" s="33" t="s">
        <v>20</v>
      </c>
      <c r="P133" s="33" t="s">
        <v>21</v>
      </c>
      <c r="Q133" s="33" t="s">
        <v>22</v>
      </c>
      <c r="R133" s="33" t="s">
        <v>24</v>
      </c>
      <c r="S133" s="34" t="s">
        <v>436</v>
      </c>
      <c r="T133" s="34" t="s">
        <v>437</v>
      </c>
      <c r="U133" s="34" t="s">
        <v>441</v>
      </c>
      <c r="V133" s="34" t="s">
        <v>442</v>
      </c>
      <c r="W133" s="21" t="s">
        <v>443</v>
      </c>
      <c r="X133" s="21" t="s">
        <v>444</v>
      </c>
      <c r="Y133" s="21" t="s">
        <v>445</v>
      </c>
      <c r="Z133" s="21" t="s">
        <v>446</v>
      </c>
      <c r="AA133" s="21" t="s">
        <v>447</v>
      </c>
      <c r="AB133" s="21" t="s">
        <v>448</v>
      </c>
      <c r="AC133" s="21" t="s">
        <v>449</v>
      </c>
      <c r="AD133" s="21" t="s">
        <v>450</v>
      </c>
      <c r="AE133" s="21" t="s">
        <v>451</v>
      </c>
      <c r="AF133" s="21" t="s">
        <v>452</v>
      </c>
      <c r="AG133" s="21" t="s">
        <v>453</v>
      </c>
    </row>
    <row r="134" spans="1:34" s="21" customFormat="1" x14ac:dyDescent="0.2">
      <c r="A134" s="21" t="s">
        <v>457</v>
      </c>
      <c r="B134" s="33"/>
      <c r="C134" s="35">
        <f>SUM(C54,C61,C85)</f>
        <v>0</v>
      </c>
      <c r="D134" s="35">
        <f>SUM(D54,E85)</f>
        <v>0</v>
      </c>
      <c r="E134" s="35">
        <f>SUM(D61,F85)</f>
        <v>0</v>
      </c>
      <c r="F134" s="35">
        <f>G85</f>
        <v>0</v>
      </c>
      <c r="G134" s="35">
        <f>H85</f>
        <v>0</v>
      </c>
      <c r="H134" s="35">
        <f>I85</f>
        <v>0</v>
      </c>
      <c r="I134" s="35">
        <f>J85</f>
        <v>0</v>
      </c>
      <c r="J134" s="35">
        <f t="shared" ref="J134:R134" si="19">K85</f>
        <v>0</v>
      </c>
      <c r="K134" s="35">
        <f t="shared" si="19"/>
        <v>0</v>
      </c>
      <c r="L134" s="35">
        <f t="shared" si="19"/>
        <v>0</v>
      </c>
      <c r="M134" s="35">
        <f t="shared" si="19"/>
        <v>0</v>
      </c>
      <c r="N134" s="35">
        <f t="shared" si="19"/>
        <v>0</v>
      </c>
      <c r="O134" s="35">
        <f t="shared" si="19"/>
        <v>0</v>
      </c>
      <c r="P134" s="35">
        <f t="shared" si="19"/>
        <v>0</v>
      </c>
      <c r="Q134" s="35">
        <f t="shared" si="19"/>
        <v>0</v>
      </c>
      <c r="R134" s="35">
        <f t="shared" si="19"/>
        <v>0</v>
      </c>
      <c r="S134" s="35"/>
      <c r="T134" s="35"/>
      <c r="U134" s="35"/>
      <c r="V134" s="35">
        <f>SUM(H54,H61,D85)</f>
        <v>0</v>
      </c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</row>
    <row r="135" spans="1:34" s="21" customFormat="1" x14ac:dyDescent="0.2">
      <c r="A135" s="21" t="s">
        <v>461</v>
      </c>
      <c r="B135" s="33"/>
      <c r="C135" s="35"/>
      <c r="D135" s="36">
        <f t="shared" ref="D135:R135" si="20">IF($C134=0,0,ROUND(D134/$C134*100,1))</f>
        <v>0</v>
      </c>
      <c r="E135" s="36">
        <f t="shared" si="20"/>
        <v>0</v>
      </c>
      <c r="F135" s="36">
        <f t="shared" si="20"/>
        <v>0</v>
      </c>
      <c r="G135" s="36">
        <f t="shared" si="20"/>
        <v>0</v>
      </c>
      <c r="H135" s="36">
        <f t="shared" si="20"/>
        <v>0</v>
      </c>
      <c r="I135" s="36">
        <f t="shared" si="20"/>
        <v>0</v>
      </c>
      <c r="J135" s="36">
        <f t="shared" si="20"/>
        <v>0</v>
      </c>
      <c r="K135" s="36">
        <f t="shared" si="20"/>
        <v>0</v>
      </c>
      <c r="L135" s="36">
        <f t="shared" si="20"/>
        <v>0</v>
      </c>
      <c r="M135" s="36">
        <f t="shared" si="20"/>
        <v>0</v>
      </c>
      <c r="N135" s="36">
        <f t="shared" si="20"/>
        <v>0</v>
      </c>
      <c r="O135" s="36">
        <f t="shared" si="20"/>
        <v>0</v>
      </c>
      <c r="P135" s="36">
        <f t="shared" si="20"/>
        <v>0</v>
      </c>
      <c r="Q135" s="36">
        <f t="shared" si="20"/>
        <v>0</v>
      </c>
      <c r="R135" s="36">
        <f t="shared" si="20"/>
        <v>0</v>
      </c>
      <c r="S135" s="37"/>
      <c r="T135" s="37"/>
      <c r="U135" s="37"/>
      <c r="V135" s="36">
        <f>IF($C134=0,0,ROUND(V134/$C134*100,1))</f>
        <v>0</v>
      </c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5"/>
    </row>
    <row r="136" spans="1:34" s="21" customFormat="1" x14ac:dyDescent="0.2">
      <c r="A136" s="21" t="s">
        <v>463</v>
      </c>
      <c r="B136" s="33"/>
      <c r="C136" s="35"/>
      <c r="D136" s="31" t="str">
        <f>IF(D135&gt;0,"Kläger zu 1) "&amp;D135&amp;" %. ","")</f>
        <v/>
      </c>
      <c r="E136" s="31" t="str">
        <f>IF(E135&gt;0,"Kläger zu 2) "&amp;E135&amp;" %. ","")</f>
        <v/>
      </c>
      <c r="F136" s="31" t="str">
        <f>IF(F135&gt;0,"Drittwiderbeklagter zu 1) "&amp;F135&amp;" %. ","")</f>
        <v/>
      </c>
      <c r="G136" s="31" t="str">
        <f>IF(G135&gt;0,"Drittwiderbeklagter zu 2) "&amp;G135&amp;" %. ","")</f>
        <v/>
      </c>
      <c r="H136" s="31" t="str">
        <f>IF(H135&gt;0,"Kläger zu 1) und 2) als Gesamtschuldner "&amp;H135&amp;" %. ","")</f>
        <v/>
      </c>
      <c r="I136" s="31" t="str">
        <f>IF(I135&gt;0,"Kläger zu 1) und Drittwiderbeklagter zu 1) als Gesamtschuldner "&amp;I135&amp;" %. ","")</f>
        <v/>
      </c>
      <c r="J136" s="31" t="str">
        <f>IF(J135&gt;0,"Kläger zu 1) und Drittwiderbeklagter zu 2) als Gesamtschuldner "&amp;J135&amp;" %. ","")</f>
        <v/>
      </c>
      <c r="K136" s="31" t="str">
        <f>IF(K135&gt;0,"Kläger zu 2) und Drittwiderbeklagter zu 1) als Gesamtschuldner "&amp;K135&amp;" %. ","")</f>
        <v/>
      </c>
      <c r="L136" s="31" t="str">
        <f>IF(L135&gt;0,"Kläger zu 2) und Drittwiderbeklagter zu 2) als Gesamtschuldner "&amp;L135&amp;" %. ","")</f>
        <v/>
      </c>
      <c r="M136" s="31" t="str">
        <f>IF(M135&gt;0,"Drittwiderbeklagte zu 1) und 2) als Gesamtschuldner "&amp;M135&amp;" %. ","")</f>
        <v/>
      </c>
      <c r="N136" s="31" t="str">
        <f>IF(N135&gt;0,"Kläger zu 1) und 2) und Drittwiderbeklagter zu 1) als Gesamtschuldner "&amp;N135&amp;" %. ","")</f>
        <v/>
      </c>
      <c r="O136" s="31" t="str">
        <f>IF(O135&gt;0,"Kläger zu 1) und 2) und Drittwiderbeklagter zu 2) als Gesamtschuldner "&amp;O135&amp;" %. ","")</f>
        <v/>
      </c>
      <c r="P136" s="31" t="str">
        <f>IF(P135&gt;0,"Kläger zu 1) und Drittwiderbeklagte zu 1) und 2) als Gesamtschuldner "&amp;P135&amp;" %. ","")</f>
        <v/>
      </c>
      <c r="Q136" s="31" t="str">
        <f>IF(Q135&gt;0,"Kläger zu 2) und Drittwiderbeklagte zu 1) und 2) als Gesamtschuldner "&amp;Q135&amp;" %. ","")</f>
        <v/>
      </c>
      <c r="R136" s="31" t="str">
        <f>IF(R135&gt;0,"Kläger zu 1) und 2) und Drittwiderbeklagte zu 1) und 2) als Gesamtschuldner "&amp;R135&amp;" %. ","")</f>
        <v/>
      </c>
      <c r="S136" s="31"/>
      <c r="T136" s="31"/>
      <c r="U136" s="31"/>
      <c r="V136" s="31" t="str">
        <f>IF(V135&gt;0,"Beklagter zu 4) "&amp;V135&amp;" %. ","")</f>
        <v/>
      </c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 t="str">
        <f>D136&amp;E136&amp;F136&amp;G136&amp;H136&amp;I136&amp;J136&amp;K136&amp;L136&amp;M136&amp;N136&amp;O136&amp;P136&amp;Q136&amp;R136&amp;S136&amp;T136&amp;U136&amp;V136&amp;W136&amp;X136&amp;Y136&amp;Z136&amp;AA136&amp;AB136&amp;AC136&amp;AD136&amp;AE136&amp;AF136&amp;AG136</f>
        <v/>
      </c>
    </row>
    <row r="137" spans="1:34" s="21" customFormat="1" x14ac:dyDescent="0.2"/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/>
  <dimension ref="A1:AI75"/>
  <sheetViews>
    <sheetView workbookViewId="0"/>
  </sheetViews>
  <sheetFormatPr baseColWidth="10" defaultColWidth="11.42578125" defaultRowHeight="12.75" x14ac:dyDescent="0.2"/>
  <cols>
    <col min="1" max="1" width="35" style="2" customWidth="1"/>
    <col min="2" max="2" width="4.85546875" style="11" bestFit="1" customWidth="1"/>
    <col min="3" max="4" width="4.85546875" style="11" customWidth="1"/>
    <col min="5" max="5" width="13" style="3" customWidth="1"/>
    <col min="6" max="8" width="12.85546875" style="3" bestFit="1" customWidth="1"/>
    <col min="9" max="24" width="11.42578125" style="3"/>
    <col min="25" max="25" width="59.5703125" style="2" customWidth="1"/>
    <col min="26" max="26" width="3.7109375" style="2" customWidth="1"/>
    <col min="27" max="27" width="23.28515625" style="2" bestFit="1" customWidth="1"/>
    <col min="28" max="28" width="3.7109375" style="2" customWidth="1"/>
    <col min="29" max="29" width="15.28515625" style="2" customWidth="1"/>
    <col min="30" max="16384" width="11.42578125" style="2"/>
  </cols>
  <sheetData>
    <row r="1" spans="1:32" x14ac:dyDescent="0.2">
      <c r="A1" s="581" t="s">
        <v>853</v>
      </c>
      <c r="E1" s="24">
        <f ca="1">IF('PKH-VKH-Rechner'!D6="heute",TODAY(),'PKH-VKH-Rechner'!D6)</f>
        <v>46203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AC1" s="1" t="s">
        <v>176</v>
      </c>
      <c r="AE1" s="39" t="str">
        <f ca="1">IF('PKH-VKH-Rechner'!D5="heute",IF(TODAY()&lt;=DATE(2013,12,31),"bis 31.12.2013","ab 01.01.2014"),'PKH-VKH-Rechner'!D5)</f>
        <v>ab 01.01.2014</v>
      </c>
    </row>
    <row r="2" spans="1:32" x14ac:dyDescent="0.2">
      <c r="A2" s="581" t="s">
        <v>790</v>
      </c>
      <c r="E2" s="24" t="str">
        <f>IF('PKH-VKH-Rechner'!D11="","übriges Bundesgebiet",'PKH-VKH-Rechner'!D11)</f>
        <v>übriges Bundesgebiet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AC2" s="1"/>
      <c r="AE2" s="39"/>
    </row>
    <row r="3" spans="1:32" x14ac:dyDescent="0.2">
      <c r="A3" s="1"/>
    </row>
    <row r="4" spans="1:32" x14ac:dyDescent="0.2">
      <c r="A4" s="1" t="s">
        <v>788</v>
      </c>
      <c r="B4" s="17"/>
      <c r="C4" s="17"/>
      <c r="D4" s="17"/>
      <c r="Y4" s="2" t="s">
        <v>368</v>
      </c>
      <c r="AC4" s="1" t="s">
        <v>166</v>
      </c>
    </row>
    <row r="5" spans="1:32" x14ac:dyDescent="0.2">
      <c r="A5" s="4" t="s">
        <v>173</v>
      </c>
      <c r="B5" s="17"/>
      <c r="C5" s="17"/>
      <c r="D5" s="17"/>
      <c r="E5" s="22" t="str">
        <f ca="1">INDEX(F5:X5,1,MATCH(TRUE,F$9:X$9,0))</f>
        <v>PKHB 2026</v>
      </c>
      <c r="F5" s="44" t="s">
        <v>173</v>
      </c>
      <c r="G5" s="44" t="s">
        <v>555</v>
      </c>
      <c r="H5" s="44" t="s">
        <v>556</v>
      </c>
      <c r="I5" s="44" t="s">
        <v>557</v>
      </c>
      <c r="J5" s="44" t="s">
        <v>558</v>
      </c>
      <c r="K5" s="44" t="s">
        <v>165</v>
      </c>
      <c r="L5" s="44" t="s">
        <v>187</v>
      </c>
      <c r="M5" s="44" t="s">
        <v>676</v>
      </c>
      <c r="N5" s="44" t="s">
        <v>731</v>
      </c>
      <c r="O5" s="44" t="s">
        <v>746</v>
      </c>
      <c r="P5" s="44" t="s">
        <v>749</v>
      </c>
      <c r="Q5" s="44" t="s">
        <v>752</v>
      </c>
      <c r="R5" s="44" t="s">
        <v>766</v>
      </c>
      <c r="S5" s="44" t="s">
        <v>784</v>
      </c>
      <c r="T5" s="44" t="s">
        <v>845</v>
      </c>
      <c r="U5" s="44" t="s">
        <v>859</v>
      </c>
      <c r="V5" s="44" t="s">
        <v>859</v>
      </c>
      <c r="W5" s="44" t="s">
        <v>867</v>
      </c>
      <c r="X5" s="44" t="s">
        <v>874</v>
      </c>
      <c r="AC5" s="2" t="s">
        <v>432</v>
      </c>
      <c r="AE5" s="43" t="s">
        <v>147</v>
      </c>
    </row>
    <row r="6" spans="1:32" x14ac:dyDescent="0.2">
      <c r="A6" s="4" t="s">
        <v>174</v>
      </c>
      <c r="B6" s="17"/>
      <c r="C6" s="17"/>
      <c r="D6" s="17"/>
      <c r="E6" s="24">
        <f ca="1">IF(SUMIF(F$9:X$9,TRUE,F6:X6)=0,"",INDEX(F6:X6,1,MATCH(TRUE,F$9:X$9,0)))</f>
        <v>46023</v>
      </c>
      <c r="F6" s="46"/>
      <c r="G6" s="46">
        <v>40360</v>
      </c>
      <c r="H6" s="46">
        <v>40632</v>
      </c>
      <c r="I6" s="46">
        <v>40909</v>
      </c>
      <c r="J6" s="46">
        <v>41000</v>
      </c>
      <c r="K6" s="46">
        <v>41275</v>
      </c>
      <c r="L6" s="46">
        <v>41640</v>
      </c>
      <c r="M6" s="46">
        <v>42005</v>
      </c>
      <c r="N6" s="46">
        <v>42370</v>
      </c>
      <c r="O6" s="46">
        <v>42736</v>
      </c>
      <c r="P6" s="46">
        <v>43101</v>
      </c>
      <c r="Q6" s="46">
        <v>43466</v>
      </c>
      <c r="R6" s="46">
        <v>43831</v>
      </c>
      <c r="S6" s="46">
        <v>44197</v>
      </c>
      <c r="T6" s="46">
        <v>44562</v>
      </c>
      <c r="U6" s="46">
        <v>44927</v>
      </c>
      <c r="V6" s="46">
        <v>45292</v>
      </c>
      <c r="W6" s="46">
        <v>45658</v>
      </c>
      <c r="X6" s="46">
        <v>46023</v>
      </c>
      <c r="AE6" s="43"/>
    </row>
    <row r="7" spans="1:32" x14ac:dyDescent="0.2">
      <c r="A7" s="4" t="s">
        <v>175</v>
      </c>
      <c r="B7" s="17"/>
      <c r="C7" s="17"/>
      <c r="D7" s="17"/>
      <c r="E7" s="24" t="str">
        <f ca="1">IF(SUMIF(F$9:X$9,TRUE,F7:X7)=0,"",INDEX(F7:X7,1,MATCH(TRUE,F$9:X$9,0)))</f>
        <v/>
      </c>
      <c r="F7" s="46">
        <v>40359</v>
      </c>
      <c r="G7" s="46">
        <v>40631</v>
      </c>
      <c r="H7" s="46">
        <v>40908</v>
      </c>
      <c r="I7" s="46">
        <v>40999</v>
      </c>
      <c r="J7" s="46">
        <v>41274</v>
      </c>
      <c r="K7" s="46">
        <v>41639</v>
      </c>
      <c r="L7" s="46">
        <v>42004</v>
      </c>
      <c r="M7" s="46">
        <v>42369</v>
      </c>
      <c r="N7" s="46">
        <v>42735</v>
      </c>
      <c r="O7" s="46">
        <v>43100</v>
      </c>
      <c r="P7" s="46">
        <v>43465</v>
      </c>
      <c r="Q7" s="46">
        <v>43830</v>
      </c>
      <c r="R7" s="46">
        <v>44196</v>
      </c>
      <c r="S7" s="46">
        <v>44561</v>
      </c>
      <c r="T7" s="46">
        <v>44926</v>
      </c>
      <c r="U7" s="46">
        <v>45291</v>
      </c>
      <c r="V7" s="46">
        <v>45657</v>
      </c>
      <c r="W7" s="46">
        <v>46022</v>
      </c>
      <c r="X7" s="46"/>
      <c r="AE7" s="43"/>
    </row>
    <row r="8" spans="1:32" x14ac:dyDescent="0.2">
      <c r="A8" s="4" t="s">
        <v>345</v>
      </c>
      <c r="B8" s="17"/>
      <c r="C8" s="17"/>
      <c r="D8" s="17"/>
      <c r="E8" s="22" t="str">
        <f ca="1">IF(INDEX(F8:X8,1,MATCH(TRUE,F$9:X$9,0))=0,"außer Kraft",INDEX(F8:X8,1,MATCH(TRUE,F$9:X$9,0)))</f>
        <v>aktuell</v>
      </c>
      <c r="F8" s="575" t="str">
        <f>""</f>
        <v/>
      </c>
      <c r="G8" s="575" t="str">
        <f>""</f>
        <v/>
      </c>
      <c r="H8" s="575" t="str">
        <f>""</f>
        <v/>
      </c>
      <c r="I8" s="575" t="str">
        <f>""</f>
        <v/>
      </c>
      <c r="J8" s="575" t="str">
        <f>""</f>
        <v/>
      </c>
      <c r="K8" s="575" t="str">
        <f>""</f>
        <v/>
      </c>
      <c r="L8" s="575" t="str">
        <f>""</f>
        <v/>
      </c>
      <c r="M8" s="687"/>
      <c r="N8" s="687"/>
      <c r="O8" s="687"/>
      <c r="P8" s="687"/>
      <c r="Q8" s="687"/>
      <c r="R8" s="687"/>
      <c r="S8" s="687"/>
      <c r="T8" s="687"/>
      <c r="U8" s="687"/>
      <c r="V8" s="687"/>
      <c r="W8" s="687"/>
      <c r="X8" s="687" t="s">
        <v>346</v>
      </c>
      <c r="AE8" s="43"/>
    </row>
    <row r="9" spans="1:32" x14ac:dyDescent="0.2">
      <c r="A9" s="4" t="s">
        <v>554</v>
      </c>
      <c r="B9" s="17"/>
      <c r="C9" s="17"/>
      <c r="D9" s="17"/>
      <c r="E9" s="44"/>
      <c r="F9" s="46" t="b">
        <f ca="1">AND(OR($E$1&gt;=F6,F6=0),OR($E$1&lt;=F7,F7=0))</f>
        <v>0</v>
      </c>
      <c r="G9" s="46" t="b">
        <f t="shared" ref="G9:W9" ca="1" si="0">AND(OR($E$1&gt;=G6,G6=0),OR($E$1&lt;=G7,G7=0))</f>
        <v>0</v>
      </c>
      <c r="H9" s="46" t="b">
        <f t="shared" ca="1" si="0"/>
        <v>0</v>
      </c>
      <c r="I9" s="46" t="b">
        <f t="shared" ca="1" si="0"/>
        <v>0</v>
      </c>
      <c r="J9" s="46" t="b">
        <f t="shared" ca="1" si="0"/>
        <v>0</v>
      </c>
      <c r="K9" s="46" t="b">
        <f t="shared" ca="1" si="0"/>
        <v>0</v>
      </c>
      <c r="L9" s="46" t="b">
        <f t="shared" ca="1" si="0"/>
        <v>0</v>
      </c>
      <c r="M9" s="46" t="b">
        <f t="shared" ref="M9:Q9" ca="1" si="1">AND(OR($E$1&gt;=M6,M6=0),OR($E$1&lt;=M7,M7=0))</f>
        <v>0</v>
      </c>
      <c r="N9" s="46" t="b">
        <f t="shared" ca="1" si="1"/>
        <v>0</v>
      </c>
      <c r="O9" s="46" t="b">
        <f t="shared" ca="1" si="1"/>
        <v>0</v>
      </c>
      <c r="P9" s="46" t="b">
        <f t="shared" ca="1" si="1"/>
        <v>0</v>
      </c>
      <c r="Q9" s="46" t="b">
        <f t="shared" ca="1" si="1"/>
        <v>0</v>
      </c>
      <c r="R9" s="46" t="b">
        <f t="shared" ca="1" si="0"/>
        <v>0</v>
      </c>
      <c r="S9" s="46" t="b">
        <f t="shared" ca="1" si="0"/>
        <v>0</v>
      </c>
      <c r="T9" s="46" t="b">
        <f t="shared" ref="T9:V9" ca="1" si="2">AND(OR($E$1&gt;=T6,T6=0),OR($E$1&lt;=T7,T7=0))</f>
        <v>0</v>
      </c>
      <c r="U9" s="46" t="b">
        <f t="shared" ca="1" si="2"/>
        <v>0</v>
      </c>
      <c r="V9" s="46" t="b">
        <f t="shared" ca="1" si="2"/>
        <v>0</v>
      </c>
      <c r="W9" s="46" t="b">
        <f t="shared" ca="1" si="0"/>
        <v>0</v>
      </c>
      <c r="X9" s="46" t="b">
        <f t="shared" ref="X9" ca="1" si="3">AND(OR($E$1&gt;=X6,X6=0),OR($E$1&lt;=X7,X7=0))</f>
        <v>1</v>
      </c>
      <c r="AE9" s="43"/>
    </row>
    <row r="10" spans="1:32" x14ac:dyDescent="0.2">
      <c r="A10" s="2" t="s">
        <v>369</v>
      </c>
      <c r="E10" s="22">
        <f ca="1">SUMIF(F$9:X$9,TRUE,F10:X10)</f>
        <v>282</v>
      </c>
      <c r="G10" s="3">
        <v>180</v>
      </c>
      <c r="H10" s="3">
        <v>182</v>
      </c>
      <c r="I10" s="3">
        <v>187</v>
      </c>
      <c r="J10" s="3">
        <v>197</v>
      </c>
      <c r="K10" s="3">
        <v>201</v>
      </c>
      <c r="L10" s="3">
        <v>206</v>
      </c>
      <c r="M10" s="38">
        <v>210</v>
      </c>
      <c r="N10" s="38">
        <v>213</v>
      </c>
      <c r="O10" s="38">
        <v>215</v>
      </c>
      <c r="P10" s="38">
        <v>219</v>
      </c>
      <c r="Q10" s="38">
        <v>224</v>
      </c>
      <c r="R10" s="38">
        <v>228</v>
      </c>
      <c r="S10" s="762">
        <f>INDEX(S11:S15,MATCH($E$2,$AA$11:$AA$15,0))</f>
        <v>223</v>
      </c>
      <c r="T10" s="762">
        <f>INDEX(T11:T15,MATCH($E$2,$AA$11:$AA$15,0))</f>
        <v>225</v>
      </c>
      <c r="U10" s="762">
        <f>INDEX(U11:U15,MATCH($E$2,$AA$11:$AA$15,0))</f>
        <v>251</v>
      </c>
      <c r="V10" s="762">
        <f>INDEX(V11:V15,MATCH($E$2,$AA$11:$AA$15,0))</f>
        <v>282</v>
      </c>
      <c r="W10" s="762">
        <f>MAX(W11,INDEX(W11:W15,MATCH($E$2,$AA$11:$AA$15,0)))</f>
        <v>282</v>
      </c>
      <c r="X10" s="762">
        <f>MAX(X11,INDEX(X11:X15,MATCH($E$2,$AA$11:$AA$15,0)))</f>
        <v>282</v>
      </c>
      <c r="Y10" s="28" t="s">
        <v>785</v>
      </c>
      <c r="Z10" s="28"/>
      <c r="AE10" s="2" t="s">
        <v>341</v>
      </c>
      <c r="AF10" s="2" t="s">
        <v>77</v>
      </c>
    </row>
    <row r="11" spans="1:32" x14ac:dyDescent="0.2">
      <c r="E11" s="22"/>
      <c r="M11" s="38"/>
      <c r="N11" s="38"/>
      <c r="O11" s="38"/>
      <c r="P11" s="38"/>
      <c r="Q11" s="38"/>
      <c r="R11" s="38"/>
      <c r="S11" s="38">
        <v>223</v>
      </c>
      <c r="T11" s="38">
        <v>225</v>
      </c>
      <c r="U11" s="38">
        <v>251</v>
      </c>
      <c r="V11" s="38">
        <v>282</v>
      </c>
      <c r="W11" s="38">
        <v>282</v>
      </c>
      <c r="X11" s="38">
        <v>282</v>
      </c>
      <c r="Y11" s="28"/>
      <c r="Z11" s="28"/>
      <c r="AA11" s="763" t="s">
        <v>781</v>
      </c>
    </row>
    <row r="12" spans="1:32" x14ac:dyDescent="0.2">
      <c r="E12" s="22"/>
      <c r="M12" s="38"/>
      <c r="N12" s="38"/>
      <c r="O12" s="38"/>
      <c r="P12" s="38"/>
      <c r="Q12" s="38"/>
      <c r="R12" s="38"/>
      <c r="S12" s="38">
        <v>235</v>
      </c>
      <c r="T12" s="38">
        <v>237</v>
      </c>
      <c r="U12" s="38">
        <v>265</v>
      </c>
      <c r="V12" s="38">
        <v>295</v>
      </c>
      <c r="W12" s="38">
        <v>295</v>
      </c>
      <c r="X12" s="38">
        <v>295</v>
      </c>
      <c r="Y12" s="28"/>
      <c r="Z12" s="28"/>
      <c r="AA12" s="764" t="s">
        <v>779</v>
      </c>
    </row>
    <row r="13" spans="1:32" x14ac:dyDescent="0.2">
      <c r="E13" s="22"/>
      <c r="M13" s="38"/>
      <c r="N13" s="38"/>
      <c r="O13" s="38"/>
      <c r="P13" s="38"/>
      <c r="Q13" s="38"/>
      <c r="R13" s="38"/>
      <c r="S13" s="38">
        <v>235</v>
      </c>
      <c r="T13" s="38">
        <v>237</v>
      </c>
      <c r="U13" s="38">
        <v>265</v>
      </c>
      <c r="V13" s="38">
        <v>296</v>
      </c>
      <c r="W13" s="38">
        <v>296</v>
      </c>
      <c r="X13" s="38">
        <v>296</v>
      </c>
      <c r="Y13" s="28"/>
      <c r="Z13" s="28"/>
      <c r="AA13" s="763" t="s">
        <v>780</v>
      </c>
    </row>
    <row r="14" spans="1:32" x14ac:dyDescent="0.2">
      <c r="E14" s="22"/>
      <c r="M14" s="38"/>
      <c r="N14" s="38"/>
      <c r="O14" s="38"/>
      <c r="P14" s="38"/>
      <c r="Q14" s="38"/>
      <c r="R14" s="38"/>
      <c r="S14" s="38">
        <v>235</v>
      </c>
      <c r="T14" s="38">
        <v>235</v>
      </c>
      <c r="U14" s="38">
        <v>259</v>
      </c>
      <c r="V14" s="38">
        <v>290</v>
      </c>
      <c r="W14" s="38">
        <v>290</v>
      </c>
      <c r="X14" s="38">
        <v>290</v>
      </c>
      <c r="Y14" s="28"/>
      <c r="Z14" s="28"/>
      <c r="AA14" s="763" t="s">
        <v>783</v>
      </c>
    </row>
    <row r="15" spans="1:32" x14ac:dyDescent="0.2">
      <c r="E15" s="22"/>
      <c r="M15" s="38"/>
      <c r="N15" s="38"/>
      <c r="O15" s="38"/>
      <c r="P15" s="38"/>
      <c r="Q15" s="38"/>
      <c r="R15" s="38"/>
      <c r="S15" s="38">
        <v>234</v>
      </c>
      <c r="T15" s="38">
        <v>236</v>
      </c>
      <c r="U15" s="38">
        <v>264</v>
      </c>
      <c r="V15" s="38">
        <v>297</v>
      </c>
      <c r="W15" s="38"/>
      <c r="X15" s="38"/>
      <c r="Y15" s="28"/>
      <c r="Z15" s="28"/>
      <c r="AA15" s="764" t="s">
        <v>782</v>
      </c>
    </row>
    <row r="16" spans="1:32" x14ac:dyDescent="0.2">
      <c r="A16" s="16" t="s">
        <v>75</v>
      </c>
      <c r="B16" s="12"/>
      <c r="C16" s="12"/>
      <c r="D16" s="12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AC16" s="2" t="s">
        <v>506</v>
      </c>
      <c r="AE16" s="22">
        <f ca="1">IF('PKH-VKH-Rechner'!D75="",0,ROUNDDOWN(MAX(0,'PKH-VKH-Rechner'!D75),0))</f>
        <v>0</v>
      </c>
      <c r="AF16" s="22">
        <f>IF('PKH-VKH-Rechner'!E75="",0,ROUNDDOWN(MAX(0,'PKH-VKH-Rechner'!E75),0))</f>
        <v>0</v>
      </c>
    </row>
    <row r="17" spans="1:35" x14ac:dyDescent="0.2">
      <c r="A17" s="16" t="s">
        <v>370</v>
      </c>
      <c r="B17" s="12"/>
      <c r="C17" s="12"/>
      <c r="D17" s="12"/>
      <c r="E17" s="22">
        <f t="shared" ref="E17:E18" ca="1" si="4">SUMIF(F$9:X$9,TRUE,F17:X17)</f>
        <v>619</v>
      </c>
      <c r="G17" s="3">
        <v>395</v>
      </c>
      <c r="H17" s="3">
        <v>400</v>
      </c>
      <c r="I17" s="3">
        <v>411</v>
      </c>
      <c r="J17" s="3">
        <v>432</v>
      </c>
      <c r="K17" s="3">
        <v>442</v>
      </c>
      <c r="L17" s="3">
        <v>452</v>
      </c>
      <c r="M17" s="38">
        <v>462</v>
      </c>
      <c r="N17" s="38">
        <v>468</v>
      </c>
      <c r="O17" s="38">
        <v>473</v>
      </c>
      <c r="P17" s="38">
        <v>481</v>
      </c>
      <c r="Q17" s="38">
        <v>492</v>
      </c>
      <c r="R17" s="38">
        <v>501</v>
      </c>
      <c r="S17" s="762">
        <f>INDEX(S19:S23,MATCH($E$2,$AA$11:$AA$15,0))</f>
        <v>491</v>
      </c>
      <c r="T17" s="762">
        <f>INDEX(T19:T23,MATCH($E$2,$AA$11:$AA$15,0))</f>
        <v>494</v>
      </c>
      <c r="U17" s="762">
        <f>INDEX(U19:U23,MATCH($E$2,$AA$11:$AA$15,0))</f>
        <v>552</v>
      </c>
      <c r="V17" s="762">
        <f>INDEX(V19:V23,MATCH($E$2,$AA$11:$AA$15,0))</f>
        <v>619</v>
      </c>
      <c r="W17" s="762">
        <f>MAX(W19,INDEX(W19:W23,MATCH($E$2,$AA$11:$AA$15,0)))</f>
        <v>619</v>
      </c>
      <c r="X17" s="762">
        <f>MAX(X19,INDEX(X19:X23,MATCH($E$2,$AA$11:$AA$15,0)))</f>
        <v>619</v>
      </c>
      <c r="Y17" s="28" t="s">
        <v>786</v>
      </c>
      <c r="Z17" s="28"/>
      <c r="AC17" s="2" t="s">
        <v>104</v>
      </c>
      <c r="AD17" s="2">
        <v>1</v>
      </c>
      <c r="AE17" s="2">
        <v>2</v>
      </c>
      <c r="AF17" s="2">
        <v>3</v>
      </c>
      <c r="AG17" s="2">
        <v>4</v>
      </c>
      <c r="AH17" s="2">
        <v>5</v>
      </c>
      <c r="AI17" s="2">
        <v>6</v>
      </c>
    </row>
    <row r="18" spans="1:35" x14ac:dyDescent="0.2">
      <c r="A18" s="16" t="s">
        <v>371</v>
      </c>
      <c r="B18" s="12"/>
      <c r="C18" s="12"/>
      <c r="D18" s="12"/>
      <c r="E18" s="22">
        <f t="shared" ca="1" si="4"/>
        <v>619</v>
      </c>
      <c r="G18" s="3">
        <v>395</v>
      </c>
      <c r="H18" s="3">
        <v>400</v>
      </c>
      <c r="I18" s="3">
        <v>411</v>
      </c>
      <c r="J18" s="3">
        <v>432</v>
      </c>
      <c r="K18" s="3">
        <v>442</v>
      </c>
      <c r="L18" s="3">
        <v>452</v>
      </c>
      <c r="M18" s="38">
        <v>462</v>
      </c>
      <c r="N18" s="38">
        <v>468</v>
      </c>
      <c r="O18" s="38">
        <v>473</v>
      </c>
      <c r="P18" s="38">
        <v>481</v>
      </c>
      <c r="Q18" s="38">
        <v>492</v>
      </c>
      <c r="R18" s="38">
        <v>501</v>
      </c>
      <c r="S18" s="762">
        <f t="shared" ref="S18:X18" si="5">S17</f>
        <v>491</v>
      </c>
      <c r="T18" s="762">
        <f t="shared" si="5"/>
        <v>494</v>
      </c>
      <c r="U18" s="762">
        <f t="shared" si="5"/>
        <v>552</v>
      </c>
      <c r="V18" s="762">
        <f t="shared" si="5"/>
        <v>619</v>
      </c>
      <c r="W18" s="762">
        <f t="shared" si="5"/>
        <v>619</v>
      </c>
      <c r="X18" s="762">
        <f t="shared" si="5"/>
        <v>619</v>
      </c>
      <c r="Y18" s="28" t="s">
        <v>786</v>
      </c>
      <c r="Z18" s="28"/>
      <c r="AC18" s="2" t="s">
        <v>105</v>
      </c>
      <c r="AD18" s="3">
        <v>0</v>
      </c>
      <c r="AE18" s="22">
        <f>AD24+0.01</f>
        <v>15.01</v>
      </c>
      <c r="AF18" s="22">
        <f>AE24+0.01</f>
        <v>50.01</v>
      </c>
      <c r="AG18" s="22">
        <f>AF24+0.01</f>
        <v>250.01</v>
      </c>
      <c r="AH18" s="22">
        <f>AG24+0.01</f>
        <v>500.01</v>
      </c>
      <c r="AI18" s="22">
        <f>AH24+0.01</f>
        <v>750.01</v>
      </c>
    </row>
    <row r="19" spans="1:35" x14ac:dyDescent="0.2">
      <c r="A19" s="16"/>
      <c r="B19" s="12"/>
      <c r="C19" s="12"/>
      <c r="D19" s="12"/>
      <c r="E19" s="22"/>
      <c r="M19" s="38"/>
      <c r="N19" s="38"/>
      <c r="O19" s="38"/>
      <c r="P19" s="38"/>
      <c r="Q19" s="38"/>
      <c r="R19" s="38"/>
      <c r="S19" s="38">
        <v>491</v>
      </c>
      <c r="T19" s="38">
        <v>494</v>
      </c>
      <c r="U19" s="38">
        <v>552</v>
      </c>
      <c r="V19" s="38">
        <v>619</v>
      </c>
      <c r="W19" s="38">
        <v>619</v>
      </c>
      <c r="X19" s="38">
        <v>619</v>
      </c>
      <c r="Y19" s="28"/>
      <c r="Z19" s="28"/>
      <c r="AA19" s="763" t="s">
        <v>781</v>
      </c>
      <c r="AD19" s="3"/>
      <c r="AE19" s="22"/>
      <c r="AF19" s="22"/>
      <c r="AG19" s="22"/>
      <c r="AH19" s="22"/>
      <c r="AI19" s="22"/>
    </row>
    <row r="20" spans="1:35" x14ac:dyDescent="0.2">
      <c r="A20" s="16"/>
      <c r="B20" s="12"/>
      <c r="C20" s="12"/>
      <c r="D20" s="12"/>
      <c r="E20" s="22"/>
      <c r="M20" s="38"/>
      <c r="N20" s="38"/>
      <c r="O20" s="38"/>
      <c r="P20" s="38"/>
      <c r="Q20" s="38"/>
      <c r="R20" s="38"/>
      <c r="S20" s="38">
        <v>516</v>
      </c>
      <c r="T20" s="38">
        <v>520</v>
      </c>
      <c r="U20" s="38">
        <v>582</v>
      </c>
      <c r="V20" s="38">
        <v>649</v>
      </c>
      <c r="W20" s="38">
        <v>649</v>
      </c>
      <c r="X20" s="38">
        <v>649</v>
      </c>
      <c r="Y20" s="28"/>
      <c r="Z20" s="28"/>
      <c r="AA20" s="764" t="s">
        <v>779</v>
      </c>
      <c r="AD20" s="3"/>
      <c r="AE20" s="22"/>
      <c r="AF20" s="22"/>
      <c r="AG20" s="22"/>
      <c r="AH20" s="22"/>
      <c r="AI20" s="22"/>
    </row>
    <row r="21" spans="1:35" x14ac:dyDescent="0.2">
      <c r="A21" s="16"/>
      <c r="B21" s="12"/>
      <c r="C21" s="12"/>
      <c r="D21" s="12"/>
      <c r="E21" s="22"/>
      <c r="M21" s="38"/>
      <c r="N21" s="38"/>
      <c r="O21" s="38"/>
      <c r="P21" s="38"/>
      <c r="Q21" s="38"/>
      <c r="R21" s="38"/>
      <c r="S21" s="38">
        <v>516</v>
      </c>
      <c r="T21" s="38">
        <v>520</v>
      </c>
      <c r="U21" s="38">
        <v>582</v>
      </c>
      <c r="V21" s="38">
        <v>650</v>
      </c>
      <c r="W21" s="38">
        <v>650</v>
      </c>
      <c r="X21" s="38">
        <v>650</v>
      </c>
      <c r="Y21" s="28"/>
      <c r="Z21" s="28"/>
      <c r="AA21" s="763" t="s">
        <v>780</v>
      </c>
      <c r="AD21" s="3"/>
      <c r="AE21" s="22"/>
      <c r="AF21" s="22"/>
      <c r="AG21" s="22"/>
      <c r="AH21" s="22"/>
      <c r="AI21" s="22"/>
    </row>
    <row r="22" spans="1:35" x14ac:dyDescent="0.2">
      <c r="A22" s="16"/>
      <c r="B22" s="12"/>
      <c r="C22" s="12"/>
      <c r="D22" s="12"/>
      <c r="E22" s="22"/>
      <c r="M22" s="38"/>
      <c r="N22" s="38"/>
      <c r="O22" s="38"/>
      <c r="P22" s="38"/>
      <c r="Q22" s="38"/>
      <c r="R22" s="38"/>
      <c r="S22" s="38">
        <v>517</v>
      </c>
      <c r="T22" s="38">
        <v>517</v>
      </c>
      <c r="U22" s="38">
        <v>569</v>
      </c>
      <c r="V22" s="38">
        <v>637</v>
      </c>
      <c r="W22" s="38">
        <v>637</v>
      </c>
      <c r="X22" s="38">
        <v>637</v>
      </c>
      <c r="Y22" s="28"/>
      <c r="Z22" s="28"/>
      <c r="AA22" s="763" t="s">
        <v>783</v>
      </c>
      <c r="AD22" s="3"/>
      <c r="AE22" s="22"/>
      <c r="AF22" s="22"/>
      <c r="AG22" s="22"/>
      <c r="AH22" s="22"/>
      <c r="AI22" s="22"/>
    </row>
    <row r="23" spans="1:35" x14ac:dyDescent="0.2">
      <c r="A23" s="16"/>
      <c r="B23" s="12"/>
      <c r="C23" s="12"/>
      <c r="D23" s="12"/>
      <c r="E23" s="22"/>
      <c r="M23" s="38"/>
      <c r="N23" s="38"/>
      <c r="O23" s="38"/>
      <c r="P23" s="38"/>
      <c r="Q23" s="38"/>
      <c r="R23" s="38"/>
      <c r="S23" s="38">
        <v>515</v>
      </c>
      <c r="T23" s="38">
        <v>518</v>
      </c>
      <c r="U23" s="38">
        <v>580</v>
      </c>
      <c r="V23" s="38">
        <v>652</v>
      </c>
      <c r="W23" s="38"/>
      <c r="X23" s="38"/>
      <c r="Y23" s="28"/>
      <c r="Z23" s="28"/>
      <c r="AA23" s="764" t="s">
        <v>782</v>
      </c>
      <c r="AD23" s="3"/>
      <c r="AE23" s="22"/>
      <c r="AF23" s="22"/>
      <c r="AG23" s="22"/>
      <c r="AH23" s="22"/>
      <c r="AI23" s="22"/>
    </row>
    <row r="24" spans="1:35" x14ac:dyDescent="0.2">
      <c r="A24" s="16" t="s">
        <v>372</v>
      </c>
      <c r="B24" s="12"/>
      <c r="C24" s="12"/>
      <c r="D24" s="12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AC24" s="2" t="s">
        <v>106</v>
      </c>
      <c r="AD24" s="3">
        <v>15</v>
      </c>
      <c r="AE24" s="3">
        <v>50</v>
      </c>
      <c r="AF24" s="3">
        <v>250</v>
      </c>
      <c r="AG24" s="3">
        <v>500</v>
      </c>
      <c r="AH24" s="3">
        <v>750</v>
      </c>
      <c r="AI24" s="3"/>
    </row>
    <row r="25" spans="1:35" x14ac:dyDescent="0.2">
      <c r="A25" s="16"/>
      <c r="B25" s="12" t="s">
        <v>373</v>
      </c>
      <c r="C25" s="12"/>
      <c r="D25" s="12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AC25" s="2" t="s">
        <v>107</v>
      </c>
      <c r="AD25" s="3"/>
      <c r="AE25" s="3"/>
      <c r="AF25" s="3">
        <v>50</v>
      </c>
      <c r="AG25" s="3">
        <v>50</v>
      </c>
      <c r="AH25" s="3">
        <v>50</v>
      </c>
      <c r="AI25" s="3"/>
    </row>
    <row r="26" spans="1:35" x14ac:dyDescent="0.2">
      <c r="A26" s="16"/>
      <c r="B26" s="12" t="s">
        <v>195</v>
      </c>
      <c r="C26" s="12" t="s">
        <v>196</v>
      </c>
      <c r="D26" s="12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AC26" s="2" t="s">
        <v>108</v>
      </c>
      <c r="AD26" s="3">
        <v>0</v>
      </c>
      <c r="AE26" s="3">
        <v>15</v>
      </c>
      <c r="AF26" s="3">
        <v>15</v>
      </c>
      <c r="AG26" s="3">
        <v>20</v>
      </c>
      <c r="AH26" s="3">
        <v>25</v>
      </c>
      <c r="AI26" s="3"/>
    </row>
    <row r="27" spans="1:35" x14ac:dyDescent="0.2">
      <c r="A27" s="16" t="s">
        <v>375</v>
      </c>
      <c r="B27" s="12">
        <v>18</v>
      </c>
      <c r="C27" s="12">
        <v>199</v>
      </c>
      <c r="D27" s="12"/>
      <c r="E27" s="22">
        <f ca="1">SUMIF(F$9:X$9,TRUE,F27:X27)</f>
        <v>496</v>
      </c>
      <c r="G27" s="3">
        <v>276</v>
      </c>
      <c r="H27" s="3">
        <v>320</v>
      </c>
      <c r="I27" s="3">
        <v>329</v>
      </c>
      <c r="J27" s="3">
        <v>345</v>
      </c>
      <c r="K27" s="3">
        <v>354</v>
      </c>
      <c r="L27" s="3">
        <v>362</v>
      </c>
      <c r="M27" s="38">
        <v>370</v>
      </c>
      <c r="N27" s="38">
        <v>374</v>
      </c>
      <c r="O27" s="38">
        <v>377</v>
      </c>
      <c r="P27" s="38">
        <v>383</v>
      </c>
      <c r="Q27" s="38">
        <v>393</v>
      </c>
      <c r="R27" s="38">
        <v>400</v>
      </c>
      <c r="S27" s="762">
        <f>INDEX(S28:S32,MATCH($E$2,$AA$11:$AA$15,0))</f>
        <v>393</v>
      </c>
      <c r="T27" s="762">
        <f>INDEX(T28:T32,MATCH($E$2,$AA$11:$AA$15,0))</f>
        <v>396</v>
      </c>
      <c r="U27" s="762">
        <f>INDEX(U28:U32,MATCH($E$2,$AA$11:$AA$15,0))</f>
        <v>442</v>
      </c>
      <c r="V27" s="762">
        <f>INDEX(V28:V32,MATCH($E$2,$AA$11:$AA$15,0))</f>
        <v>496</v>
      </c>
      <c r="W27" s="762">
        <f>MAX(W28,INDEX(W28:W32,MATCH($E$2,$AA$11:$AA$15,0)))</f>
        <v>496</v>
      </c>
      <c r="X27" s="762">
        <f>MAX(X28,INDEX(X28:X32,MATCH($E$2,$AA$11:$AA$15,0)))</f>
        <v>496</v>
      </c>
      <c r="Y27" s="28" t="s">
        <v>787</v>
      </c>
      <c r="Z27" s="28"/>
      <c r="AA27" s="28"/>
      <c r="AC27" s="2" t="s">
        <v>109</v>
      </c>
      <c r="AD27" s="22">
        <f>0</f>
        <v>0</v>
      </c>
      <c r="AE27" s="22">
        <f ca="1">IF($AE$16&lt;AE18,0,AE26)</f>
        <v>0</v>
      </c>
      <c r="AF27" s="22">
        <f ca="1">MAX(0,ROUNDDOWN((MIN($AE$16,AF24)-AF18)/AF25+1,0))*AF26</f>
        <v>0</v>
      </c>
      <c r="AG27" s="22">
        <f ca="1">MAX(0,ROUNDDOWN((MIN($AE$16,AG24)-AG18)/AG25+1,0))*AG26</f>
        <v>0</v>
      </c>
      <c r="AH27" s="22">
        <f ca="1">MAX(0,ROUNDDOWN((MIN($AE$16,AH24)-AH18)/AH25+1,0))*AH26</f>
        <v>0</v>
      </c>
      <c r="AI27" s="22">
        <f ca="1">IF($AE$16&lt;AI18,0,$AE$16-750)</f>
        <v>0</v>
      </c>
    </row>
    <row r="28" spans="1:35" x14ac:dyDescent="0.2">
      <c r="A28" s="16"/>
      <c r="B28" s="12"/>
      <c r="C28" s="12"/>
      <c r="D28" s="12"/>
      <c r="E28" s="22"/>
      <c r="M28" s="38"/>
      <c r="N28" s="38"/>
      <c r="O28" s="38"/>
      <c r="P28" s="38"/>
      <c r="Q28" s="38"/>
      <c r="R28" s="38"/>
      <c r="S28" s="38">
        <v>393</v>
      </c>
      <c r="T28" s="38">
        <v>396</v>
      </c>
      <c r="U28" s="38">
        <v>442</v>
      </c>
      <c r="V28" s="38">
        <v>496</v>
      </c>
      <c r="W28" s="38">
        <v>496</v>
      </c>
      <c r="X28" s="38">
        <v>496</v>
      </c>
      <c r="Y28" s="28"/>
      <c r="Z28" s="28"/>
      <c r="AA28" s="763" t="s">
        <v>781</v>
      </c>
      <c r="AD28" s="22"/>
      <c r="AE28" s="22"/>
      <c r="AF28" s="22"/>
      <c r="AG28" s="22"/>
      <c r="AH28" s="22"/>
      <c r="AI28" s="22"/>
    </row>
    <row r="29" spans="1:35" x14ac:dyDescent="0.2">
      <c r="A29" s="16"/>
      <c r="B29" s="12"/>
      <c r="C29" s="12"/>
      <c r="D29" s="12"/>
      <c r="E29" s="22"/>
      <c r="M29" s="38"/>
      <c r="N29" s="38"/>
      <c r="O29" s="38"/>
      <c r="P29" s="38"/>
      <c r="Q29" s="38"/>
      <c r="R29" s="38"/>
      <c r="S29" s="38">
        <v>414</v>
      </c>
      <c r="T29" s="38">
        <v>417</v>
      </c>
      <c r="U29" s="38">
        <v>466</v>
      </c>
      <c r="V29" s="38">
        <v>520</v>
      </c>
      <c r="W29" s="38">
        <v>520</v>
      </c>
      <c r="X29" s="38">
        <v>520</v>
      </c>
      <c r="Y29" s="28"/>
      <c r="Z29" s="28"/>
      <c r="AA29" s="764" t="s">
        <v>779</v>
      </c>
      <c r="AD29" s="22"/>
      <c r="AE29" s="22"/>
      <c r="AF29" s="22"/>
      <c r="AG29" s="22"/>
      <c r="AH29" s="22"/>
      <c r="AI29" s="22"/>
    </row>
    <row r="30" spans="1:35" x14ac:dyDescent="0.2">
      <c r="A30" s="16"/>
      <c r="B30" s="12"/>
      <c r="C30" s="12"/>
      <c r="D30" s="12"/>
      <c r="E30" s="22"/>
      <c r="M30" s="38"/>
      <c r="N30" s="38"/>
      <c r="O30" s="38"/>
      <c r="P30" s="38"/>
      <c r="Q30" s="38"/>
      <c r="R30" s="38"/>
      <c r="S30" s="38">
        <v>414</v>
      </c>
      <c r="T30" s="38">
        <v>417</v>
      </c>
      <c r="U30" s="38">
        <v>466</v>
      </c>
      <c r="V30" s="38">
        <v>519</v>
      </c>
      <c r="W30" s="38">
        <v>519</v>
      </c>
      <c r="X30" s="38">
        <v>519</v>
      </c>
      <c r="Y30" s="28"/>
      <c r="Z30" s="28"/>
      <c r="AA30" s="763" t="s">
        <v>780</v>
      </c>
      <c r="AD30" s="22"/>
      <c r="AE30" s="22"/>
      <c r="AF30" s="22"/>
      <c r="AG30" s="22"/>
      <c r="AH30" s="22"/>
      <c r="AI30" s="22"/>
    </row>
    <row r="31" spans="1:35" x14ac:dyDescent="0.2">
      <c r="A31" s="16"/>
      <c r="B31" s="12"/>
      <c r="C31" s="12"/>
      <c r="D31" s="12"/>
      <c r="E31" s="22"/>
      <c r="M31" s="38"/>
      <c r="N31" s="38"/>
      <c r="O31" s="38"/>
      <c r="P31" s="38"/>
      <c r="Q31" s="38"/>
      <c r="R31" s="38"/>
      <c r="S31" s="38">
        <v>414</v>
      </c>
      <c r="T31" s="38">
        <v>414</v>
      </c>
      <c r="U31" s="38">
        <v>445</v>
      </c>
      <c r="V31" s="38">
        <v>510</v>
      </c>
      <c r="W31" s="38">
        <v>510</v>
      </c>
      <c r="X31" s="38">
        <v>510</v>
      </c>
      <c r="Y31" s="28"/>
      <c r="Z31" s="28"/>
      <c r="AA31" s="763" t="s">
        <v>783</v>
      </c>
      <c r="AD31" s="22"/>
      <c r="AE31" s="22"/>
      <c r="AF31" s="22"/>
      <c r="AG31" s="22"/>
      <c r="AH31" s="22"/>
      <c r="AI31" s="22"/>
    </row>
    <row r="32" spans="1:35" x14ac:dyDescent="0.2">
      <c r="A32" s="16"/>
      <c r="B32" s="12"/>
      <c r="C32" s="12"/>
      <c r="D32" s="12"/>
      <c r="E32" s="22"/>
      <c r="M32" s="38"/>
      <c r="N32" s="38"/>
      <c r="O32" s="38"/>
      <c r="P32" s="38"/>
      <c r="Q32" s="38"/>
      <c r="R32" s="38"/>
      <c r="S32" s="38">
        <v>411</v>
      </c>
      <c r="T32" s="38">
        <v>415</v>
      </c>
      <c r="U32" s="38">
        <v>463</v>
      </c>
      <c r="V32" s="38">
        <v>523</v>
      </c>
      <c r="W32" s="38"/>
      <c r="X32" s="38"/>
      <c r="Y32" s="28"/>
      <c r="Z32" s="28"/>
      <c r="AA32" s="764" t="s">
        <v>782</v>
      </c>
      <c r="AD32" s="22"/>
      <c r="AE32" s="22"/>
      <c r="AF32" s="22"/>
      <c r="AG32" s="22"/>
      <c r="AH32" s="22"/>
      <c r="AI32" s="22"/>
    </row>
    <row r="33" spans="1:32" x14ac:dyDescent="0.2">
      <c r="A33" s="16" t="s">
        <v>376</v>
      </c>
      <c r="B33" s="12">
        <v>14</v>
      </c>
      <c r="C33" s="12">
        <v>17</v>
      </c>
      <c r="D33" s="12"/>
      <c r="E33" s="22">
        <f ca="1">SUMIF(F$9:X$9,TRUE,F33:X33)</f>
        <v>518</v>
      </c>
      <c r="G33" s="3">
        <v>276</v>
      </c>
      <c r="H33" s="3">
        <v>316</v>
      </c>
      <c r="I33" s="3">
        <v>316</v>
      </c>
      <c r="J33" s="3">
        <v>326</v>
      </c>
      <c r="K33" s="3">
        <v>338</v>
      </c>
      <c r="L33" s="3">
        <v>341</v>
      </c>
      <c r="M33" s="38">
        <v>349</v>
      </c>
      <c r="N33" s="38">
        <v>353</v>
      </c>
      <c r="O33" s="38">
        <v>359</v>
      </c>
      <c r="P33" s="38">
        <v>364</v>
      </c>
      <c r="Q33" s="38">
        <v>373</v>
      </c>
      <c r="R33" s="38">
        <v>381</v>
      </c>
      <c r="S33" s="762">
        <f>INDEX(S34:S38,MATCH($E$2,$AA$11:$AA$15,0))</f>
        <v>410</v>
      </c>
      <c r="T33" s="762">
        <f>INDEX(T34:T38,MATCH($E$2,$AA$11:$AA$15,0))</f>
        <v>414</v>
      </c>
      <c r="U33" s="762">
        <f>INDEX(U34:U38,MATCH($E$2,$AA$11:$AA$15,0))</f>
        <v>462</v>
      </c>
      <c r="V33" s="762">
        <f>INDEX(V34:V38,MATCH($E$2,$AA$11:$AA$15,0))</f>
        <v>518</v>
      </c>
      <c r="W33" s="762">
        <f>MAX(W34,INDEX(W34:W38,MATCH($E$2,$AA$11:$AA$15,0)))</f>
        <v>518</v>
      </c>
      <c r="X33" s="762">
        <f>MAX(X34,INDEX(X34:X38,MATCH($E$2,$AA$11:$AA$15,0)))</f>
        <v>518</v>
      </c>
      <c r="Y33" s="28" t="s">
        <v>787</v>
      </c>
      <c r="Z33" s="28"/>
      <c r="AA33" s="28"/>
      <c r="AC33" s="2" t="s">
        <v>374</v>
      </c>
      <c r="AD33" s="22">
        <f ca="1">SUM(AD27:AI27)</f>
        <v>0</v>
      </c>
      <c r="AE33" s="3"/>
      <c r="AF33" s="3"/>
    </row>
    <row r="34" spans="1:32" x14ac:dyDescent="0.2">
      <c r="A34" s="16"/>
      <c r="B34" s="12"/>
      <c r="C34" s="12"/>
      <c r="D34" s="12"/>
      <c r="E34" s="22"/>
      <c r="M34" s="38"/>
      <c r="N34" s="38"/>
      <c r="O34" s="38"/>
      <c r="P34" s="38"/>
      <c r="Q34" s="38"/>
      <c r="R34" s="38"/>
      <c r="S34" s="38">
        <v>410</v>
      </c>
      <c r="T34" s="38">
        <v>414</v>
      </c>
      <c r="U34" s="38">
        <v>462</v>
      </c>
      <c r="V34" s="38">
        <v>518</v>
      </c>
      <c r="W34" s="38">
        <v>518</v>
      </c>
      <c r="X34" s="38">
        <v>518</v>
      </c>
      <c r="Y34" s="28"/>
      <c r="Z34" s="28"/>
      <c r="AA34" s="763" t="s">
        <v>781</v>
      </c>
      <c r="AD34" s="22"/>
      <c r="AE34" s="3"/>
      <c r="AF34" s="3"/>
    </row>
    <row r="35" spans="1:32" x14ac:dyDescent="0.2">
      <c r="A35" s="16"/>
      <c r="B35" s="12"/>
      <c r="C35" s="12"/>
      <c r="D35" s="12"/>
      <c r="E35" s="22"/>
      <c r="M35" s="38"/>
      <c r="N35" s="38"/>
      <c r="O35" s="38"/>
      <c r="P35" s="38"/>
      <c r="Q35" s="38"/>
      <c r="R35" s="38"/>
      <c r="S35" s="38">
        <v>430</v>
      </c>
      <c r="T35" s="38">
        <v>433</v>
      </c>
      <c r="U35" s="38">
        <v>484</v>
      </c>
      <c r="V35" s="38">
        <v>540</v>
      </c>
      <c r="W35" s="38">
        <v>540</v>
      </c>
      <c r="X35" s="38">
        <v>540</v>
      </c>
      <c r="Y35" s="28"/>
      <c r="Z35" s="28"/>
      <c r="AA35" s="764" t="s">
        <v>779</v>
      </c>
      <c r="AD35" s="22"/>
      <c r="AE35" s="3"/>
      <c r="AF35" s="3"/>
    </row>
    <row r="36" spans="1:32" x14ac:dyDescent="0.2">
      <c r="A36" s="16"/>
      <c r="B36" s="12"/>
      <c r="C36" s="12"/>
      <c r="D36" s="12"/>
      <c r="E36" s="22"/>
      <c r="M36" s="38"/>
      <c r="N36" s="38"/>
      <c r="O36" s="38"/>
      <c r="P36" s="38"/>
      <c r="Q36" s="38"/>
      <c r="R36" s="38"/>
      <c r="S36" s="38">
        <v>430</v>
      </c>
      <c r="T36" s="38">
        <v>433</v>
      </c>
      <c r="U36" s="38">
        <v>484</v>
      </c>
      <c r="V36" s="38">
        <v>541</v>
      </c>
      <c r="W36" s="38">
        <v>541</v>
      </c>
      <c r="X36" s="38">
        <v>541</v>
      </c>
      <c r="Y36" s="28"/>
      <c r="Z36" s="28"/>
      <c r="AA36" s="763" t="s">
        <v>780</v>
      </c>
      <c r="AD36" s="22"/>
      <c r="AE36" s="3"/>
      <c r="AF36" s="3"/>
    </row>
    <row r="37" spans="1:32" x14ac:dyDescent="0.2">
      <c r="A37" s="16"/>
      <c r="B37" s="12"/>
      <c r="C37" s="12"/>
      <c r="D37" s="12"/>
      <c r="E37" s="22"/>
      <c r="M37" s="38"/>
      <c r="N37" s="38"/>
      <c r="O37" s="38"/>
      <c r="P37" s="38"/>
      <c r="Q37" s="38"/>
      <c r="R37" s="38"/>
      <c r="S37" s="38">
        <v>432</v>
      </c>
      <c r="T37" s="38">
        <v>432</v>
      </c>
      <c r="U37" s="38">
        <v>475</v>
      </c>
      <c r="V37" s="38">
        <v>534</v>
      </c>
      <c r="W37" s="38">
        <v>534</v>
      </c>
      <c r="X37" s="38">
        <v>534</v>
      </c>
      <c r="Y37" s="28"/>
      <c r="Z37" s="28"/>
      <c r="AA37" s="763" t="s">
        <v>783</v>
      </c>
      <c r="AD37" s="22"/>
      <c r="AE37" s="3"/>
      <c r="AF37" s="3"/>
    </row>
    <row r="38" spans="1:32" x14ac:dyDescent="0.2">
      <c r="A38" s="16"/>
      <c r="B38" s="12"/>
      <c r="C38" s="12"/>
      <c r="D38" s="12"/>
      <c r="E38" s="22"/>
      <c r="M38" s="38"/>
      <c r="N38" s="38"/>
      <c r="O38" s="38"/>
      <c r="P38" s="38"/>
      <c r="Q38" s="38"/>
      <c r="R38" s="38"/>
      <c r="S38" s="38">
        <v>429</v>
      </c>
      <c r="T38" s="38">
        <v>432</v>
      </c>
      <c r="U38" s="38">
        <v>483</v>
      </c>
      <c r="V38" s="38">
        <v>543</v>
      </c>
      <c r="W38" s="38"/>
      <c r="X38" s="38"/>
      <c r="Y38" s="28"/>
      <c r="Z38" s="28"/>
      <c r="AA38" s="764" t="s">
        <v>782</v>
      </c>
      <c r="AD38" s="22"/>
      <c r="AE38" s="3"/>
      <c r="AF38" s="3"/>
    </row>
    <row r="39" spans="1:32" x14ac:dyDescent="0.2">
      <c r="A39" s="16" t="s">
        <v>377</v>
      </c>
      <c r="B39" s="12">
        <v>6</v>
      </c>
      <c r="C39" s="12">
        <v>13</v>
      </c>
      <c r="D39" s="12"/>
      <c r="E39" s="22">
        <f ca="1">SUMIF(F$9:X$9,TRUE,F39:X39)</f>
        <v>429</v>
      </c>
      <c r="G39" s="3">
        <v>276</v>
      </c>
      <c r="H39" s="3">
        <v>276</v>
      </c>
      <c r="I39" s="3">
        <v>276</v>
      </c>
      <c r="J39" s="3">
        <v>286</v>
      </c>
      <c r="K39" s="3">
        <v>296</v>
      </c>
      <c r="L39" s="3">
        <v>299</v>
      </c>
      <c r="M39" s="38">
        <v>306</v>
      </c>
      <c r="N39" s="38">
        <v>309</v>
      </c>
      <c r="O39" s="38">
        <v>333</v>
      </c>
      <c r="P39" s="38">
        <v>339</v>
      </c>
      <c r="Q39" s="38">
        <v>350</v>
      </c>
      <c r="R39" s="38">
        <v>358</v>
      </c>
      <c r="S39" s="762">
        <f>INDEX(S40:S44,MATCH($E$2,$AA$11:$AA$15,0))</f>
        <v>340</v>
      </c>
      <c r="T39" s="762">
        <f>INDEX(T40:T44,MATCH($E$2,$AA$11:$AA$15,0))</f>
        <v>342</v>
      </c>
      <c r="U39" s="762">
        <f>INDEX(U40:U44,MATCH($E$2,$AA$11:$AA$15,0))</f>
        <v>383</v>
      </c>
      <c r="V39" s="762">
        <f>INDEX(V40:V44,MATCH($E$2,$AA$11:$AA$15,0))</f>
        <v>429</v>
      </c>
      <c r="W39" s="762">
        <f>MAX(W40,INDEX(W40:W44,MATCH($E$2,$AA$11:$AA$15,0)))</f>
        <v>429</v>
      </c>
      <c r="X39" s="762">
        <f>MAX(X40,INDEX(X40:X44,MATCH($E$2,$AA$11:$AA$15,0)))</f>
        <v>429</v>
      </c>
      <c r="Y39" s="28" t="s">
        <v>787</v>
      </c>
      <c r="Z39" s="28"/>
      <c r="AA39" s="28"/>
    </row>
    <row r="40" spans="1:32" x14ac:dyDescent="0.2">
      <c r="A40" s="16"/>
      <c r="B40" s="12"/>
      <c r="C40" s="12"/>
      <c r="D40" s="12"/>
      <c r="E40" s="22"/>
      <c r="M40" s="38"/>
      <c r="N40" s="38"/>
      <c r="O40" s="38"/>
      <c r="P40" s="38"/>
      <c r="Q40" s="38"/>
      <c r="R40" s="38"/>
      <c r="S40" s="38">
        <v>340</v>
      </c>
      <c r="T40" s="38">
        <v>342</v>
      </c>
      <c r="U40" s="38">
        <v>383</v>
      </c>
      <c r="V40" s="38">
        <v>429</v>
      </c>
      <c r="W40" s="38">
        <v>429</v>
      </c>
      <c r="X40" s="38">
        <v>429</v>
      </c>
      <c r="Y40" s="28"/>
      <c r="Z40" s="28"/>
      <c r="AA40" s="763" t="s">
        <v>781</v>
      </c>
    </row>
    <row r="41" spans="1:32" x14ac:dyDescent="0.2">
      <c r="A41" s="16"/>
      <c r="B41" s="12"/>
      <c r="C41" s="12"/>
      <c r="D41" s="12"/>
      <c r="E41" s="22"/>
      <c r="M41" s="38"/>
      <c r="N41" s="38"/>
      <c r="O41" s="38"/>
      <c r="P41" s="38"/>
      <c r="Q41" s="38"/>
      <c r="R41" s="38"/>
      <c r="S41" s="38">
        <v>353</v>
      </c>
      <c r="T41" s="38">
        <v>355</v>
      </c>
      <c r="U41" s="38">
        <v>397</v>
      </c>
      <c r="V41" s="38">
        <v>443</v>
      </c>
      <c r="W41" s="38">
        <v>443</v>
      </c>
      <c r="X41" s="38">
        <v>443</v>
      </c>
      <c r="Y41" s="28"/>
      <c r="Z41" s="28"/>
      <c r="AA41" s="764" t="s">
        <v>779</v>
      </c>
    </row>
    <row r="42" spans="1:32" x14ac:dyDescent="0.2">
      <c r="A42" s="16"/>
      <c r="B42" s="12"/>
      <c r="C42" s="12"/>
      <c r="D42" s="12"/>
      <c r="E42" s="22"/>
      <c r="M42" s="38"/>
      <c r="N42" s="38"/>
      <c r="O42" s="38"/>
      <c r="P42" s="38"/>
      <c r="Q42" s="38"/>
      <c r="R42" s="38"/>
      <c r="S42" s="38">
        <v>353</v>
      </c>
      <c r="T42" s="38">
        <v>355</v>
      </c>
      <c r="U42" s="38">
        <v>397</v>
      </c>
      <c r="V42" s="38">
        <v>446</v>
      </c>
      <c r="W42" s="38">
        <v>446</v>
      </c>
      <c r="X42" s="38">
        <v>446</v>
      </c>
      <c r="Y42" s="28"/>
      <c r="Z42" s="28"/>
      <c r="AA42" s="763" t="s">
        <v>780</v>
      </c>
    </row>
    <row r="43" spans="1:32" x14ac:dyDescent="0.2">
      <c r="A43" s="16"/>
      <c r="B43" s="12"/>
      <c r="C43" s="12"/>
      <c r="D43" s="12"/>
      <c r="E43" s="22"/>
      <c r="M43" s="38"/>
      <c r="N43" s="38"/>
      <c r="O43" s="38"/>
      <c r="P43" s="38"/>
      <c r="Q43" s="38"/>
      <c r="R43" s="38"/>
      <c r="S43" s="38">
        <v>359</v>
      </c>
      <c r="T43" s="38">
        <v>359</v>
      </c>
      <c r="U43" s="38">
        <v>394</v>
      </c>
      <c r="V43" s="38">
        <v>441</v>
      </c>
      <c r="W43" s="38">
        <v>441</v>
      </c>
      <c r="X43" s="38">
        <v>441</v>
      </c>
      <c r="Y43" s="28"/>
      <c r="Z43" s="28"/>
      <c r="AA43" s="763" t="s">
        <v>783</v>
      </c>
    </row>
    <row r="44" spans="1:32" x14ac:dyDescent="0.2">
      <c r="A44" s="16"/>
      <c r="B44" s="12"/>
      <c r="C44" s="12"/>
      <c r="D44" s="12"/>
      <c r="E44" s="22"/>
      <c r="M44" s="38"/>
      <c r="N44" s="38"/>
      <c r="O44" s="38"/>
      <c r="P44" s="38"/>
      <c r="Q44" s="38"/>
      <c r="R44" s="38"/>
      <c r="S44" s="38">
        <v>353</v>
      </c>
      <c r="T44" s="38">
        <v>355</v>
      </c>
      <c r="U44" s="38">
        <v>397</v>
      </c>
      <c r="V44" s="38">
        <v>446</v>
      </c>
      <c r="W44" s="38"/>
      <c r="X44" s="38"/>
      <c r="Y44" s="28"/>
      <c r="Z44" s="28"/>
      <c r="AA44" s="764" t="s">
        <v>782</v>
      </c>
    </row>
    <row r="45" spans="1:32" x14ac:dyDescent="0.2">
      <c r="A45" s="16" t="s">
        <v>378</v>
      </c>
      <c r="B45" s="12">
        <v>0</v>
      </c>
      <c r="C45" s="12">
        <v>5</v>
      </c>
      <c r="D45" s="12"/>
      <c r="E45" s="22">
        <f ca="1">SUMIF(F$9:X$9,TRUE,F45:X45)</f>
        <v>393</v>
      </c>
      <c r="G45" s="3">
        <v>276</v>
      </c>
      <c r="H45" s="3">
        <v>237</v>
      </c>
      <c r="I45" s="3">
        <v>241</v>
      </c>
      <c r="J45" s="3">
        <v>252</v>
      </c>
      <c r="K45" s="3">
        <v>257</v>
      </c>
      <c r="L45" s="3">
        <v>263</v>
      </c>
      <c r="M45" s="38">
        <v>268</v>
      </c>
      <c r="N45" s="38">
        <v>272</v>
      </c>
      <c r="O45" s="38">
        <v>272</v>
      </c>
      <c r="P45" s="38">
        <v>275</v>
      </c>
      <c r="Q45" s="38">
        <v>284</v>
      </c>
      <c r="R45" s="38">
        <v>289</v>
      </c>
      <c r="S45" s="762">
        <f>INDEX(S46:S50,MATCH($E$2,$AA$11:$AA$15,0))</f>
        <v>311</v>
      </c>
      <c r="T45" s="762">
        <f>INDEX(T46:T50,MATCH($E$2,$AA$11:$AA$15,0))</f>
        <v>314</v>
      </c>
      <c r="U45" s="762">
        <f>INDEX(U46:U50,MATCH($E$2,$AA$11:$AA$15,0))</f>
        <v>350</v>
      </c>
      <c r="V45" s="762">
        <f>INDEX(V46:V50,MATCH($E$2,$AA$11:$AA$15,0))</f>
        <v>393</v>
      </c>
      <c r="W45" s="762">
        <f>MAX(W46,INDEX(W46:W50,MATCH($E$2,$AA$11:$AA$15,0)))</f>
        <v>393</v>
      </c>
      <c r="X45" s="762">
        <f>MAX(X46,INDEX(X46:X50,MATCH($E$2,$AA$11:$AA$15,0)))</f>
        <v>393</v>
      </c>
      <c r="Y45" s="28" t="s">
        <v>787</v>
      </c>
      <c r="Z45" s="28"/>
      <c r="AA45" s="28"/>
      <c r="AC45" s="2" t="s">
        <v>432</v>
      </c>
      <c r="AE45" s="43" t="s">
        <v>58</v>
      </c>
    </row>
    <row r="46" spans="1:32" x14ac:dyDescent="0.2">
      <c r="A46" s="16"/>
      <c r="B46" s="12"/>
      <c r="C46" s="12"/>
      <c r="D46" s="12"/>
      <c r="E46" s="22"/>
      <c r="M46" s="38"/>
      <c r="N46" s="38"/>
      <c r="O46" s="38"/>
      <c r="P46" s="38"/>
      <c r="Q46" s="38"/>
      <c r="R46" s="38"/>
      <c r="S46" s="38">
        <v>311</v>
      </c>
      <c r="T46" s="38">
        <v>314</v>
      </c>
      <c r="U46" s="38">
        <v>350</v>
      </c>
      <c r="V46" s="38">
        <v>393</v>
      </c>
      <c r="W46" s="38">
        <v>393</v>
      </c>
      <c r="X46" s="38">
        <v>393</v>
      </c>
      <c r="Y46" s="28"/>
      <c r="Z46" s="28"/>
      <c r="AA46" s="763" t="s">
        <v>781</v>
      </c>
      <c r="AE46" s="43"/>
    </row>
    <row r="47" spans="1:32" x14ac:dyDescent="0.2">
      <c r="A47" s="16"/>
      <c r="B47" s="12"/>
      <c r="C47" s="12"/>
      <c r="D47" s="12"/>
      <c r="E47" s="22"/>
      <c r="M47" s="38"/>
      <c r="N47" s="38"/>
      <c r="O47" s="38"/>
      <c r="P47" s="38"/>
      <c r="Q47" s="38"/>
      <c r="R47" s="38"/>
      <c r="S47" s="38">
        <v>325</v>
      </c>
      <c r="T47" s="38">
        <v>327</v>
      </c>
      <c r="U47" s="38">
        <v>365</v>
      </c>
      <c r="V47" s="38">
        <v>408</v>
      </c>
      <c r="W47" s="38">
        <v>408</v>
      </c>
      <c r="X47" s="38">
        <v>408</v>
      </c>
      <c r="Y47" s="28"/>
      <c r="Z47" s="28"/>
      <c r="AA47" s="764" t="s">
        <v>779</v>
      </c>
      <c r="AE47" s="43"/>
    </row>
    <row r="48" spans="1:32" x14ac:dyDescent="0.2">
      <c r="A48" s="16"/>
      <c r="B48" s="12"/>
      <c r="C48" s="12"/>
      <c r="D48" s="12"/>
      <c r="E48" s="22"/>
      <c r="M48" s="38"/>
      <c r="N48" s="38"/>
      <c r="O48" s="38"/>
      <c r="P48" s="38"/>
      <c r="Q48" s="38"/>
      <c r="R48" s="38"/>
      <c r="S48" s="38">
        <v>325</v>
      </c>
      <c r="T48" s="38">
        <v>327</v>
      </c>
      <c r="U48" s="38">
        <v>365</v>
      </c>
      <c r="V48" s="38">
        <v>407</v>
      </c>
      <c r="W48" s="38">
        <v>407</v>
      </c>
      <c r="X48" s="38">
        <v>407</v>
      </c>
      <c r="Y48" s="28"/>
      <c r="Z48" s="28"/>
      <c r="AA48" s="763" t="s">
        <v>780</v>
      </c>
      <c r="AE48" s="43"/>
    </row>
    <row r="49" spans="1:32" x14ac:dyDescent="0.2">
      <c r="A49" s="16"/>
      <c r="B49" s="12"/>
      <c r="C49" s="12"/>
      <c r="D49" s="12"/>
      <c r="E49" s="22"/>
      <c r="M49" s="38"/>
      <c r="N49" s="38"/>
      <c r="O49" s="38"/>
      <c r="P49" s="38"/>
      <c r="Q49" s="38"/>
      <c r="R49" s="38"/>
      <c r="S49" s="38">
        <v>328</v>
      </c>
      <c r="T49" s="38">
        <v>328</v>
      </c>
      <c r="U49" s="38">
        <v>360</v>
      </c>
      <c r="V49" s="38">
        <v>404</v>
      </c>
      <c r="W49" s="38">
        <v>404</v>
      </c>
      <c r="X49" s="38">
        <v>404</v>
      </c>
      <c r="Y49" s="28"/>
      <c r="Z49" s="28"/>
      <c r="AA49" s="763" t="s">
        <v>783</v>
      </c>
      <c r="AE49" s="43"/>
    </row>
    <row r="50" spans="1:32" x14ac:dyDescent="0.2">
      <c r="A50" s="16"/>
      <c r="B50" s="12"/>
      <c r="C50" s="12"/>
      <c r="D50" s="12"/>
      <c r="E50" s="22"/>
      <c r="M50" s="38"/>
      <c r="N50" s="38"/>
      <c r="O50" s="38"/>
      <c r="P50" s="38"/>
      <c r="Q50" s="38"/>
      <c r="R50" s="38"/>
      <c r="S50" s="38">
        <v>323</v>
      </c>
      <c r="T50" s="38">
        <v>326</v>
      </c>
      <c r="U50" s="38">
        <v>363</v>
      </c>
      <c r="V50" s="38">
        <v>409</v>
      </c>
      <c r="W50" s="38"/>
      <c r="X50" s="38"/>
      <c r="Y50" s="28"/>
      <c r="Z50" s="28"/>
      <c r="AA50" s="764" t="s">
        <v>782</v>
      </c>
      <c r="AE50" s="43"/>
    </row>
    <row r="51" spans="1:32" x14ac:dyDescent="0.2">
      <c r="A51" s="580" t="s">
        <v>127</v>
      </c>
      <c r="B51" s="12"/>
      <c r="C51" s="12"/>
      <c r="D51" s="12"/>
      <c r="E51" s="22">
        <f ca="1">SUMIF(F$9:X$9,TRUE,F51:X51)</f>
        <v>999</v>
      </c>
      <c r="G51" s="3">
        <v>999</v>
      </c>
      <c r="H51" s="3">
        <v>999</v>
      </c>
      <c r="I51" s="3">
        <v>999</v>
      </c>
      <c r="J51" s="3">
        <v>999</v>
      </c>
      <c r="K51" s="3">
        <v>999</v>
      </c>
      <c r="L51" s="3">
        <v>999</v>
      </c>
      <c r="M51" s="38">
        <v>999</v>
      </c>
      <c r="N51" s="38">
        <v>999</v>
      </c>
      <c r="O51" s="38">
        <v>999</v>
      </c>
      <c r="P51" s="38">
        <v>999</v>
      </c>
      <c r="Q51" s="38">
        <v>999</v>
      </c>
      <c r="R51" s="38">
        <v>999</v>
      </c>
      <c r="S51" s="38">
        <v>999</v>
      </c>
      <c r="T51" s="38">
        <v>999</v>
      </c>
      <c r="U51" s="38">
        <v>999</v>
      </c>
      <c r="V51" s="38">
        <v>999</v>
      </c>
      <c r="W51" s="38">
        <v>999</v>
      </c>
      <c r="X51" s="38">
        <v>999</v>
      </c>
      <c r="Y51" s="28" t="s">
        <v>696</v>
      </c>
      <c r="Z51" s="28"/>
      <c r="AA51" s="28"/>
      <c r="AE51" s="2" t="s">
        <v>341</v>
      </c>
      <c r="AF51" s="2" t="s">
        <v>77</v>
      </c>
    </row>
    <row r="53" spans="1:32" x14ac:dyDescent="0.2">
      <c r="A53" s="1" t="s">
        <v>789</v>
      </c>
      <c r="B53" s="17"/>
      <c r="C53" s="17"/>
      <c r="D53" s="17"/>
      <c r="AC53" s="2" t="s">
        <v>506</v>
      </c>
      <c r="AE53" s="22">
        <f ca="1">IF('PKH-VKH-Rechner'!D75="",0,MAX(0,'PKH-VKH-Rechner'!D75))</f>
        <v>0</v>
      </c>
      <c r="AF53" s="22">
        <f>IF('PKH-VKH-Rechner'!E75="",0,MAX(0,'PKH-VKH-Rechner'!E75))</f>
        <v>0</v>
      </c>
    </row>
    <row r="54" spans="1:32" x14ac:dyDescent="0.2">
      <c r="A54" s="2" t="s">
        <v>369</v>
      </c>
      <c r="E54" s="22">
        <f>IF('PKH-VKH-Rechner'!P9=TRUE,E10,0)</f>
        <v>0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AC54" s="2" t="s">
        <v>374</v>
      </c>
      <c r="AD54" s="22">
        <f ca="1">IF(AE53&lt;=600,IF(ROUNDDOWN(AE53/2,0)&lt;10,0,ROUNDDOWN(AE53/2,0)),300+AE53-600)</f>
        <v>0</v>
      </c>
    </row>
    <row r="55" spans="1:32" x14ac:dyDescent="0.2">
      <c r="A55" s="16" t="s">
        <v>75</v>
      </c>
      <c r="E55" s="28" t="s">
        <v>698</v>
      </c>
      <c r="F55" s="28" t="s">
        <v>693</v>
      </c>
    </row>
    <row r="56" spans="1:32" x14ac:dyDescent="0.2">
      <c r="A56" s="16" t="s">
        <v>370</v>
      </c>
      <c r="E56" s="22">
        <f ca="1">E17</f>
        <v>619</v>
      </c>
      <c r="F56" s="729">
        <f ca="1">E56</f>
        <v>619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AC56" s="1" t="s">
        <v>170</v>
      </c>
    </row>
    <row r="57" spans="1:32" x14ac:dyDescent="0.2">
      <c r="A57" s="16" t="s">
        <v>371</v>
      </c>
      <c r="E57" s="22">
        <f>IF('PKH-VKH-Rechner'!P15,MAX(0,E18-'PKH-VKH-Rechner'!E76),0)</f>
        <v>0</v>
      </c>
      <c r="F57" s="729">
        <f>IF('PKH-VKH-Rechner'!P15,MIN(IF(OR('PKH-VKH-Rechner'!E15="natural",'PKH-VKH-Rechner'!E15=""),E18,'PKH-VKH-Rechner'!E15),E57),0)</f>
        <v>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4" t="s">
        <v>697</v>
      </c>
      <c r="Z57" s="4"/>
      <c r="AA57" s="4"/>
      <c r="AE57" s="2" t="s">
        <v>341</v>
      </c>
      <c r="AF57" s="2" t="s">
        <v>77</v>
      </c>
    </row>
    <row r="58" spans="1:32" x14ac:dyDescent="0.2">
      <c r="A58" s="16" t="s">
        <v>381</v>
      </c>
      <c r="E58" s="22"/>
      <c r="F58" s="22">
        <f ca="1">SUM(F56:F57)</f>
        <v>619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AC58" s="2" t="s">
        <v>506</v>
      </c>
      <c r="AE58" s="40">
        <f ca="1">IF($AE$1=$AE$5,AE$16,IF($AE$1=$AE$45,AE$53,""))</f>
        <v>0</v>
      </c>
      <c r="AF58" s="40">
        <f ca="1">IF($AE$1=$AE$5,AF$16,IF($AE$1=$AE$45,AF$53,""))</f>
        <v>0</v>
      </c>
    </row>
    <row r="59" spans="1:32" x14ac:dyDescent="0.2">
      <c r="A59" s="16" t="s">
        <v>379</v>
      </c>
      <c r="B59" s="11" t="s">
        <v>373</v>
      </c>
      <c r="C59" s="11" t="s">
        <v>699</v>
      </c>
      <c r="E59" s="28" t="s">
        <v>698</v>
      </c>
      <c r="F59" s="28" t="s">
        <v>693</v>
      </c>
      <c r="Y59" s="2" t="s">
        <v>700</v>
      </c>
      <c r="AC59" s="2" t="s">
        <v>59</v>
      </c>
      <c r="AD59" s="40">
        <f ca="1">IF($AE$1=AE$5,AD$33,IF($AE$1=AE$45,AD$54,""))</f>
        <v>0</v>
      </c>
    </row>
    <row r="60" spans="1:32" x14ac:dyDescent="0.2">
      <c r="A60" s="16" t="s">
        <v>380</v>
      </c>
      <c r="B60" s="23">
        <f>IF(OR('PKH-VKH-Rechner'!D16="keine Angabe",'PKH-VKH-Rechner'!D16=""),0,MAX(0,YEAR(E$1)-YEAR('PKH-VKH-Rechner'!D16)-IF(OR(MONTH('PKH-VKH-Rechner'!D16)&gt;MONTH(E$1),AND(MONTH('PKH-VKH-Rechner'!D16)=MONTH(E$1),DAY('PKH-VKH-Rechner'!D16)&gt;DAY(E$1))),1,0)))</f>
        <v>0</v>
      </c>
      <c r="C60" s="745" t="str">
        <f>IF(AND('PKH-VKH-Rechner'!P16,'PKH-VKH-Rechner'!D16&lt;&gt;"keine Angabe",'PKH-VKH-Rechner'!D16&lt;&gt;""),IF(B60&lt;7,"A",IF(B60&lt;16,"B",IF(B60&lt;18,"C",""))),"")</f>
        <v/>
      </c>
      <c r="D60" s="745"/>
      <c r="E60" s="22">
        <f>IF('PKH-VKH-Rechner'!P16,MAX(0,SUMIF(B$27:B$45,"&lt;="&amp;B60,E$27:E$45)-SUMIF(C$27:C$45,"&lt;"&amp;B60,E$27:E$45)-'PKH-VKH-Rechner'!F16),0)</f>
        <v>0</v>
      </c>
      <c r="F60" s="729">
        <f>IF('PKH-VKH-Rechner'!P16,MIN(IF(OR('PKH-VKH-Rechner'!E16="natural",'PKH-VKH-Rechner'!E16=""),E$51,'PKH-VKH-Rechner'!E16),E60),0)</f>
        <v>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4" t="s">
        <v>697</v>
      </c>
      <c r="Z60" s="4"/>
      <c r="AA60" s="4"/>
    </row>
    <row r="61" spans="1:32" x14ac:dyDescent="0.2">
      <c r="A61" s="16" t="s">
        <v>327</v>
      </c>
      <c r="B61" s="23">
        <f>IF(OR('PKH-VKH-Rechner'!D17="keine Angabe",'PKH-VKH-Rechner'!D17=""),0,MAX(0,YEAR(E$1)-YEAR('PKH-VKH-Rechner'!D17)-IF(OR(MONTH('PKH-VKH-Rechner'!D17)&gt;MONTH(E$1),AND(MONTH('PKH-VKH-Rechner'!D17)=MONTH(E$1),DAY('PKH-VKH-Rechner'!D17)&gt;DAY(E$1))),1,0)))</f>
        <v>0</v>
      </c>
      <c r="C61" s="745" t="str">
        <f>IF(AND('PKH-VKH-Rechner'!P17,'PKH-VKH-Rechner'!D17&lt;&gt;"keine Angabe",'PKH-VKH-Rechner'!D17&lt;&gt;""),IF(B61&lt;7,"A",IF(B61&lt;16,"B",IF(B61&lt;18,"C",""))),"")</f>
        <v/>
      </c>
      <c r="D61" s="745"/>
      <c r="E61" s="22">
        <f>IF('PKH-VKH-Rechner'!P17,MAX(0,SUMIF(B$27:B$45,"&lt;="&amp;B61,E$27:E$45)-SUMIF(C$27:C$45,"&lt;"&amp;B61,E$27:E$45)-'PKH-VKH-Rechner'!F17),0)</f>
        <v>0</v>
      </c>
      <c r="F61" s="729">
        <f>IF('PKH-VKH-Rechner'!P17,MIN(IF(OR('PKH-VKH-Rechner'!E17="natural",'PKH-VKH-Rechner'!E17=""),E$51,'PKH-VKH-Rechner'!E17),E61),0)</f>
        <v>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4" t="s">
        <v>697</v>
      </c>
      <c r="Z61" s="4"/>
      <c r="AA61" s="4"/>
    </row>
    <row r="62" spans="1:32" x14ac:dyDescent="0.2">
      <c r="A62" s="16" t="s">
        <v>328</v>
      </c>
      <c r="B62" s="23">
        <f>IF(OR('PKH-VKH-Rechner'!D18="keine Angabe",'PKH-VKH-Rechner'!D18=""),0,MAX(0,YEAR(E$1)-YEAR('PKH-VKH-Rechner'!D18)-IF(OR(MONTH('PKH-VKH-Rechner'!D18)&gt;MONTH(E$1),AND(MONTH('PKH-VKH-Rechner'!D18)=MONTH(E$1),DAY('PKH-VKH-Rechner'!D18)&gt;DAY(E$1))),1,0)))</f>
        <v>0</v>
      </c>
      <c r="C62" s="745" t="str">
        <f>IF(AND('PKH-VKH-Rechner'!P18,'PKH-VKH-Rechner'!D18&lt;&gt;"keine Angabe",'PKH-VKH-Rechner'!D18&lt;&gt;""),IF(B62&lt;7,"A",IF(B62&lt;16,"B",IF(B62&lt;18,"C",""))),"")</f>
        <v/>
      </c>
      <c r="D62" s="745"/>
      <c r="E62" s="22">
        <f>IF('PKH-VKH-Rechner'!P18,MAX(0,SUMIF(B$27:B$45,"&lt;="&amp;B62,E$27:E$45)-SUMIF(C$27:C$45,"&lt;"&amp;B62,E$27:E$45)-'PKH-VKH-Rechner'!F18),0)</f>
        <v>0</v>
      </c>
      <c r="F62" s="729">
        <f>IF('PKH-VKH-Rechner'!P18,MIN(IF(OR('PKH-VKH-Rechner'!E18="natural",'PKH-VKH-Rechner'!E18=""),E$51,'PKH-VKH-Rechner'!E18),E62),0)</f>
        <v>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4" t="s">
        <v>697</v>
      </c>
      <c r="Z62" s="4"/>
      <c r="AA62" s="4"/>
    </row>
    <row r="63" spans="1:32" x14ac:dyDescent="0.2">
      <c r="A63" s="16" t="s">
        <v>329</v>
      </c>
      <c r="B63" s="23">
        <f>IF(OR('PKH-VKH-Rechner'!D19="keine Angabe",'PKH-VKH-Rechner'!D19=""),0,MAX(0,YEAR(E$1)-YEAR('PKH-VKH-Rechner'!D19)-IF(OR(MONTH('PKH-VKH-Rechner'!D19)&gt;MONTH(E$1),AND(MONTH('PKH-VKH-Rechner'!D19)=MONTH(E$1),DAY('PKH-VKH-Rechner'!D19)&gt;DAY(E$1))),1,0)))</f>
        <v>0</v>
      </c>
      <c r="C63" s="745" t="str">
        <f>IF(AND('PKH-VKH-Rechner'!P19,'PKH-VKH-Rechner'!D19&lt;&gt;"keine Angabe",'PKH-VKH-Rechner'!D19&lt;&gt;""),IF(B63&lt;7,"A",IF(B63&lt;16,"B",IF(B63&lt;18,"C",""))),"")</f>
        <v/>
      </c>
      <c r="D63" s="745"/>
      <c r="E63" s="22">
        <f>IF('PKH-VKH-Rechner'!P19,MAX(0,SUMIF(B$27:B$45,"&lt;="&amp;B63,E$27:E$45)-SUMIF(C$27:C$45,"&lt;"&amp;B63,E$27:E$45)-'PKH-VKH-Rechner'!F19),0)</f>
        <v>0</v>
      </c>
      <c r="F63" s="729">
        <f>IF('PKH-VKH-Rechner'!P19,MIN(IF(OR('PKH-VKH-Rechner'!E19="natural",'PKH-VKH-Rechner'!E19=""),E$51,'PKH-VKH-Rechner'!E19),E63),0)</f>
        <v>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4" t="s">
        <v>697</v>
      </c>
      <c r="Z63" s="4"/>
      <c r="AA63" s="4"/>
    </row>
    <row r="64" spans="1:32" x14ac:dyDescent="0.2">
      <c r="A64" s="16" t="s">
        <v>513</v>
      </c>
      <c r="B64" s="23">
        <f>IF(OR('PKH-VKH-Rechner'!D20="keine Angabe",'PKH-VKH-Rechner'!D20=""),0,MAX(0,YEAR(E$1)-YEAR('PKH-VKH-Rechner'!D20)-IF(OR(MONTH('PKH-VKH-Rechner'!D20)&gt;MONTH(E$1),AND(MONTH('PKH-VKH-Rechner'!D20)=MONTH(E$1),DAY('PKH-VKH-Rechner'!D20)&gt;DAY(E$1))),1,0)))</f>
        <v>0</v>
      </c>
      <c r="C64" s="745" t="str">
        <f>IF(AND('PKH-VKH-Rechner'!P20,'PKH-VKH-Rechner'!D20&lt;&gt;"keine Angabe",'PKH-VKH-Rechner'!D20&lt;&gt;""),IF(B64&lt;7,"A",IF(B64&lt;16,"B",IF(B64&lt;18,"C",""))),"")</f>
        <v/>
      </c>
      <c r="D64" s="745"/>
      <c r="E64" s="22">
        <f>IF('PKH-VKH-Rechner'!P20,MAX(0,SUMIF(B$27:B$45,"&lt;="&amp;B64,E$27:E$45)-SUMIF(C$27:C$45,"&lt;"&amp;B64,E$27:E$45)-'PKH-VKH-Rechner'!F20),0)</f>
        <v>0</v>
      </c>
      <c r="F64" s="729">
        <f>IF('PKH-VKH-Rechner'!P20,MIN(IF(OR('PKH-VKH-Rechner'!E20="natural",'PKH-VKH-Rechner'!E20=""),E$51,'PKH-VKH-Rechner'!E20),E64),0)</f>
        <v>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4" t="s">
        <v>697</v>
      </c>
      <c r="Z64" s="4"/>
      <c r="AA64" s="4"/>
    </row>
    <row r="65" spans="1:24" x14ac:dyDescent="0.2">
      <c r="A65" s="16" t="s">
        <v>381</v>
      </c>
      <c r="E65" s="22"/>
      <c r="F65" s="22">
        <f>SUM(F60:F64)</f>
        <v>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7" spans="1:24" x14ac:dyDescent="0.2">
      <c r="A67" s="1" t="s">
        <v>854</v>
      </c>
    </row>
    <row r="68" spans="1:24" x14ac:dyDescent="0.2">
      <c r="A68" s="4" t="s">
        <v>855</v>
      </c>
      <c r="E68" s="22" t="str">
        <f ca="1">INDEX(F68:H68,1,MATCH(TRUE,F$72:H$72,0))</f>
        <v>BarbetrV 2023</v>
      </c>
      <c r="F68" s="764" t="s">
        <v>858</v>
      </c>
      <c r="G68" s="763" t="s">
        <v>856</v>
      </c>
      <c r="H68" s="763" t="s">
        <v>857</v>
      </c>
    </row>
    <row r="69" spans="1:24" x14ac:dyDescent="0.2">
      <c r="A69" s="4" t="s">
        <v>174</v>
      </c>
      <c r="E69" s="24">
        <f ca="1">IF(SUMIF(F$72:H$72,TRUE,F69:H69)=0,"",INDEX(F69:H69,1,MATCH(TRUE,F$72:H$72,0)))</f>
        <v>44927</v>
      </c>
      <c r="F69" s="781"/>
      <c r="G69" s="781">
        <v>42826</v>
      </c>
      <c r="H69" s="781">
        <v>44927</v>
      </c>
    </row>
    <row r="70" spans="1:24" x14ac:dyDescent="0.2">
      <c r="A70" s="4" t="s">
        <v>175</v>
      </c>
      <c r="E70" s="24" t="str">
        <f ca="1">IF(SUMIF(F$72:H$72,TRUE,F70:H70)=0,"",INDEX(F70:H70,1,MATCH(TRUE,F$72:H$72,0)))</f>
        <v/>
      </c>
      <c r="F70" s="781">
        <v>42825</v>
      </c>
      <c r="G70" s="781">
        <v>44926</v>
      </c>
      <c r="H70" s="781"/>
    </row>
    <row r="71" spans="1:24" x14ac:dyDescent="0.2">
      <c r="A71" s="4" t="s">
        <v>345</v>
      </c>
      <c r="E71" s="22" t="str">
        <f ca="1">INDEX(F71:H71,1,MATCH(TRUE,F$72:H$72,0))</f>
        <v>aktuell</v>
      </c>
      <c r="F71" s="575" t="str">
        <f>""</f>
        <v/>
      </c>
      <c r="G71" s="575" t="str">
        <f>""</f>
        <v/>
      </c>
      <c r="H71" s="575" t="s">
        <v>346</v>
      </c>
    </row>
    <row r="72" spans="1:24" x14ac:dyDescent="0.2">
      <c r="A72" s="4" t="s">
        <v>554</v>
      </c>
      <c r="E72" s="44"/>
      <c r="F72" s="46" t="b">
        <f ca="1">AND(OR($E$1&gt;=F69,F69=0),OR($E$1&lt;=F70,F70=0))</f>
        <v>0</v>
      </c>
      <c r="G72" s="46" t="b">
        <f t="shared" ref="G72:H72" ca="1" si="6">AND(OR($E$1&gt;=G69,G69=0),OR($E$1&lt;=G70,G70=0))</f>
        <v>0</v>
      </c>
      <c r="H72" s="46" t="b">
        <f t="shared" ca="1" si="6"/>
        <v>1</v>
      </c>
    </row>
    <row r="73" spans="1:24" x14ac:dyDescent="0.2">
      <c r="A73" s="2" t="s">
        <v>429</v>
      </c>
      <c r="E73" s="22">
        <f ca="1">SUMIF(F$72:H$72,TRUE,F73:H73)</f>
        <v>10000</v>
      </c>
      <c r="F73" s="3">
        <v>2600</v>
      </c>
      <c r="G73" s="28">
        <v>5000</v>
      </c>
      <c r="H73" s="28">
        <v>10000</v>
      </c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x14ac:dyDescent="0.2">
      <c r="A74" s="2" t="s">
        <v>430</v>
      </c>
      <c r="E74" s="22">
        <f ca="1">SUMIF(F$72:H$72,TRUE,F74:H74)*COUNTIF('PKH-VKH-Rechner'!P15:P20,TRUE)</f>
        <v>0</v>
      </c>
      <c r="F74" s="3">
        <v>256</v>
      </c>
      <c r="G74" s="28">
        <v>500</v>
      </c>
      <c r="H74" s="28">
        <v>500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x14ac:dyDescent="0.2">
      <c r="A75" s="2" t="s">
        <v>431</v>
      </c>
      <c r="E75" s="22">
        <f ca="1">SUM(E73:E74)</f>
        <v>10000</v>
      </c>
      <c r="G75" s="28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verticalDpi="59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2"/>
  <dimension ref="A1:Z87"/>
  <sheetViews>
    <sheetView workbookViewId="0"/>
  </sheetViews>
  <sheetFormatPr baseColWidth="10" defaultColWidth="11.42578125" defaultRowHeight="12.75" x14ac:dyDescent="0.2"/>
  <cols>
    <col min="1" max="2" width="11.42578125" style="2"/>
    <col min="3" max="3" width="8.7109375" style="2" bestFit="1" customWidth="1"/>
    <col min="4" max="4" width="12.7109375" style="2" bestFit="1" customWidth="1"/>
    <col min="5" max="5" width="11.42578125" style="2"/>
    <col min="6" max="6" width="19.7109375" style="2" bestFit="1" customWidth="1"/>
    <col min="7" max="9" width="11.42578125" style="2"/>
    <col min="10" max="10" width="12.7109375" style="2" bestFit="1" customWidth="1"/>
    <col min="11" max="12" width="11.42578125" style="2"/>
    <col min="13" max="13" width="11.42578125" style="4"/>
    <col min="14" max="19" width="11.42578125" style="2"/>
    <col min="20" max="20" width="11.42578125" style="4"/>
    <col min="21" max="16384" width="11.42578125" style="2"/>
  </cols>
  <sheetData>
    <row r="1" spans="1:26" x14ac:dyDescent="0.2">
      <c r="A1" s="6"/>
      <c r="G1" s="1" t="s">
        <v>501</v>
      </c>
    </row>
    <row r="2" spans="1:26" x14ac:dyDescent="0.2">
      <c r="G2" s="2" t="s">
        <v>153</v>
      </c>
      <c r="H2" s="2" t="s">
        <v>154</v>
      </c>
      <c r="I2" s="2" t="s">
        <v>152</v>
      </c>
      <c r="J2" s="2" t="s">
        <v>190</v>
      </c>
      <c r="K2" s="2" t="s">
        <v>191</v>
      </c>
      <c r="N2" s="2" t="s">
        <v>153</v>
      </c>
      <c r="O2" s="2" t="s">
        <v>154</v>
      </c>
      <c r="P2" s="2" t="s">
        <v>152</v>
      </c>
      <c r="Q2" s="2" t="s">
        <v>190</v>
      </c>
      <c r="R2" s="2" t="s">
        <v>191</v>
      </c>
      <c r="U2" s="2" t="s">
        <v>153</v>
      </c>
      <c r="V2" s="2" t="s">
        <v>154</v>
      </c>
      <c r="W2" s="2" t="s">
        <v>152</v>
      </c>
      <c r="X2" s="2" t="s">
        <v>190</v>
      </c>
      <c r="Y2" s="2" t="s">
        <v>191</v>
      </c>
    </row>
    <row r="3" spans="1:26" x14ac:dyDescent="0.2">
      <c r="G3" s="765">
        <f>Zinsrechner!$C5</f>
        <v>0</v>
      </c>
      <c r="H3" s="765">
        <f>Zinsrechner!$D5</f>
        <v>0</v>
      </c>
      <c r="I3" s="729">
        <f>Zinsrechner!$B$5</f>
        <v>1000</v>
      </c>
      <c r="J3" s="766">
        <f>Zinsrechner!E5</f>
        <v>0.05</v>
      </c>
      <c r="K3" s="767" t="str">
        <f>Zinsrechner!F5</f>
        <v>-Punkte über Basiszinssatz</v>
      </c>
      <c r="N3" s="765">
        <f>Zinsrechner!$C6</f>
        <v>0</v>
      </c>
      <c r="O3" s="765">
        <f>Zinsrechner!$D6</f>
        <v>0</v>
      </c>
      <c r="P3" s="729">
        <f>Zinsrechner!$B$5</f>
        <v>1000</v>
      </c>
      <c r="Q3" s="766">
        <f>Zinsrechner!E6</f>
        <v>0</v>
      </c>
      <c r="R3" s="767">
        <f>Zinsrechner!F6</f>
        <v>0</v>
      </c>
      <c r="U3" s="765">
        <f>Zinsrechner!$C7</f>
        <v>0</v>
      </c>
      <c r="V3" s="765">
        <f>Zinsrechner!$D7</f>
        <v>0</v>
      </c>
      <c r="W3" s="729">
        <f>Zinsrechner!$B$5</f>
        <v>1000</v>
      </c>
      <c r="X3" s="766">
        <f>Zinsrechner!E7</f>
        <v>0</v>
      </c>
      <c r="Y3" s="767">
        <f>Zinsrechner!F7</f>
        <v>0</v>
      </c>
    </row>
    <row r="4" spans="1:26" s="4" customFormat="1" x14ac:dyDescent="0.2"/>
    <row r="5" spans="1:26" x14ac:dyDescent="0.2">
      <c r="A5" s="1" t="s">
        <v>773</v>
      </c>
      <c r="G5" s="1" t="s">
        <v>502</v>
      </c>
      <c r="N5" s="4"/>
      <c r="O5" s="4"/>
      <c r="P5" s="4"/>
      <c r="Q5" s="4"/>
      <c r="R5" s="4"/>
      <c r="S5" s="4"/>
      <c r="U5" s="4"/>
    </row>
    <row r="6" spans="1:26" x14ac:dyDescent="0.2">
      <c r="A6" s="1"/>
      <c r="G6" s="4" t="s">
        <v>192</v>
      </c>
      <c r="N6" s="4" t="s">
        <v>193</v>
      </c>
      <c r="U6" s="4" t="s">
        <v>194</v>
      </c>
    </row>
    <row r="7" spans="1:26" x14ac:dyDescent="0.2">
      <c r="A7" s="2" t="s">
        <v>195</v>
      </c>
      <c r="B7" s="2" t="s">
        <v>196</v>
      </c>
      <c r="C7" s="2" t="s">
        <v>588</v>
      </c>
      <c r="D7" s="2" t="s">
        <v>158</v>
      </c>
      <c r="G7" s="2" t="s">
        <v>195</v>
      </c>
      <c r="H7" s="2" t="s">
        <v>196</v>
      </c>
      <c r="I7" s="2" t="s">
        <v>197</v>
      </c>
      <c r="J7" s="2" t="s">
        <v>198</v>
      </c>
      <c r="K7" s="2" t="s">
        <v>155</v>
      </c>
      <c r="L7" s="2" t="s">
        <v>199</v>
      </c>
      <c r="N7" s="2" t="s">
        <v>195</v>
      </c>
      <c r="O7" s="2" t="s">
        <v>196</v>
      </c>
      <c r="P7" s="2" t="s">
        <v>197</v>
      </c>
      <c r="Q7" s="2" t="s">
        <v>198</v>
      </c>
      <c r="R7" s="2" t="s">
        <v>155</v>
      </c>
      <c r="S7" s="2" t="s">
        <v>199</v>
      </c>
      <c r="U7" s="2" t="s">
        <v>195</v>
      </c>
      <c r="V7" s="2" t="s">
        <v>196</v>
      </c>
      <c r="W7" s="2" t="s">
        <v>197</v>
      </c>
      <c r="X7" s="2" t="s">
        <v>198</v>
      </c>
      <c r="Y7" s="2" t="s">
        <v>155</v>
      </c>
      <c r="Z7" s="2" t="s">
        <v>199</v>
      </c>
    </row>
    <row r="8" spans="1:26" x14ac:dyDescent="0.2">
      <c r="D8" s="9">
        <v>0</v>
      </c>
      <c r="F8" s="2" t="s">
        <v>331</v>
      </c>
      <c r="G8" s="27" t="str">
        <f>IF(H8&lt;&gt;"",DATE(YEAR(G$3),1,1),"")</f>
        <v/>
      </c>
      <c r="H8" s="27" t="str">
        <f>IF(YEAR(G$3)&lt;MIN(YEAR(G$11),YEAR(H$3)),DATE(YEAR(G$3),12,31),"")</f>
        <v/>
      </c>
      <c r="I8" s="15">
        <f t="shared" ref="I8:I73" si="0">IF(H8&lt;&gt;"",MOD(DATE(YEAR(H8),12,31)-DATE(YEAR(G8),1,1)+1,365),0)</f>
        <v>0</v>
      </c>
      <c r="J8" s="25">
        <f t="shared" ref="J8:J73" si="1">IF(K$3="nominal",J$3,IF(K$3="-Punkte über Basiszinssatz",J$3+$D8,0))</f>
        <v>0.05</v>
      </c>
      <c r="K8" s="23">
        <f>IF(H8&lt;&gt;"",MAX(MIN(H8,H$3)-MAX(G8,G$3)+1,0),0)</f>
        <v>0</v>
      </c>
      <c r="L8" s="26">
        <f>I$3*J8/(365+I8)*K8</f>
        <v>0</v>
      </c>
      <c r="N8" s="27" t="str">
        <f>IF(O8&lt;&gt;"",DATE(YEAR(N$3),1,1),"")</f>
        <v/>
      </c>
      <c r="O8" s="27" t="str">
        <f>IF(YEAR(N$3)&lt;MIN(YEAR(N$11),YEAR(O$3)),DATE(YEAR(N$3),12,31),"")</f>
        <v/>
      </c>
      <c r="P8" s="15">
        <f>IF(O8&lt;&gt;"",MOD(DATE(YEAR(O8),12,31)-DATE(YEAR(N8),1,1)+1,365),0)</f>
        <v>0</v>
      </c>
      <c r="Q8" s="25">
        <f>IF(R$3="nominal",Q$3,IF(R$3="-Punkte über Basiszinssatz",Q$3+$D8,0))</f>
        <v>0</v>
      </c>
      <c r="R8" s="23">
        <f>IF(O8&lt;&gt;"",MAX(MIN(O8,O$3)-MAX(N8,N$3)+1,0),0)</f>
        <v>0</v>
      </c>
      <c r="S8" s="26">
        <f>P$3*Q8/(365+P8)*R8</f>
        <v>0</v>
      </c>
      <c r="U8" s="27" t="str">
        <f>IF(V8&lt;&gt;"",DATE(YEAR(U$3),1,1),"")</f>
        <v/>
      </c>
      <c r="V8" s="27" t="str">
        <f>IF(YEAR(U$3)&lt;MIN(YEAR(U$11),YEAR(V$3)),DATE(YEAR(U$3),12,31),"")</f>
        <v/>
      </c>
      <c r="W8" s="15">
        <f>IF(V8&lt;&gt;"",MOD(DATE(YEAR(V8),12,31)-DATE(YEAR(U8),1,1)+1,365),0)</f>
        <v>0</v>
      </c>
      <c r="X8" s="25">
        <f>IF(Y$3="nominal",X$3,IF(Y$3="-Punkte über Basiszinssatz",X$3+$D8,0))</f>
        <v>0</v>
      </c>
      <c r="Y8" s="23">
        <f>IF(V8&lt;&gt;"",MAX(MIN(V8,V$3)-MAX(U8,U$3)+1,0),0)</f>
        <v>0</v>
      </c>
      <c r="Z8" s="26">
        <f>W$3*X8/(365+W8)*Y8</f>
        <v>0</v>
      </c>
    </row>
    <row r="9" spans="1:26" x14ac:dyDescent="0.2">
      <c r="D9" s="9">
        <v>0</v>
      </c>
      <c r="F9" s="2" t="s">
        <v>332</v>
      </c>
      <c r="G9" s="27" t="str">
        <f>IF(H9&lt;&gt;"",DATE(YEAR(G$3)+1,1,1),"")</f>
        <v/>
      </c>
      <c r="H9" s="27" t="str">
        <f>IF(YEAR(G$3)&lt;MIN(YEAR(G$11)-1,YEAR(H$3)-1),DATE(MIN(YEAR(G$11)-1,YEAR(H$3)-1),12,31),"")</f>
        <v/>
      </c>
      <c r="I9" s="15">
        <f t="shared" si="0"/>
        <v>0</v>
      </c>
      <c r="J9" s="25">
        <f t="shared" si="1"/>
        <v>0.05</v>
      </c>
      <c r="K9" s="23">
        <f>IF(H9&lt;&gt;"",H9-G9+1,0)</f>
        <v>0</v>
      </c>
      <c r="L9" s="26">
        <f>IF(H9&lt;&gt;"",I$3*J9*(YEAR(H9)-YEAR(G9)+1),0)</f>
        <v>0</v>
      </c>
      <c r="N9" s="27" t="str">
        <f>IF(O9&lt;&gt;"",DATE(YEAR(N$3)+1,1,1),"")</f>
        <v/>
      </c>
      <c r="O9" s="27" t="str">
        <f>IF(YEAR(N$3)&lt;MIN(YEAR(N$11)-1,YEAR(O$3)-1),DATE(MIN(YEAR(N$11)-1,YEAR(O$3)-1),12,31),"")</f>
        <v/>
      </c>
      <c r="P9" s="15">
        <f>IF(O9&lt;&gt;"",MOD(DATE(YEAR(O9),12,31)-DATE(YEAR(N9),1,1)+1,365),0)</f>
        <v>0</v>
      </c>
      <c r="Q9" s="25">
        <f>IF(R$3="nominal",Q$3,IF(R$3="-Punkte über Basiszinssatz",Q$3+$D9,0))</f>
        <v>0</v>
      </c>
      <c r="R9" s="23">
        <f>IF(O9&lt;&gt;"",O9-N9+1,0)</f>
        <v>0</v>
      </c>
      <c r="S9" s="26">
        <f>IF(O9&lt;&gt;"",P$3*Q9*(YEAR(O9)-YEAR(N9)+1),0)</f>
        <v>0</v>
      </c>
      <c r="U9" s="27" t="str">
        <f>IF(V9&lt;&gt;"",DATE(YEAR(U$3)+1,1,1),"")</f>
        <v/>
      </c>
      <c r="V9" s="27" t="str">
        <f>IF(YEAR(U$3)&lt;MIN(YEAR(U$11)-1,YEAR(V$3)-1),DATE(MIN(YEAR(U$11)-1,YEAR(V$3)-1),12,31),"")</f>
        <v/>
      </c>
      <c r="W9" s="15">
        <f>IF(V9&lt;&gt;"",MOD(DATE(YEAR(V9),12,31)-DATE(YEAR(U9),1,1)+1,365),0)</f>
        <v>0</v>
      </c>
      <c r="X9" s="25">
        <f>IF(Y$3="nominal",X$3,IF(Y$3="-Punkte über Basiszinssatz",X$3+$D9,0))</f>
        <v>0</v>
      </c>
      <c r="Y9" s="23">
        <f>IF(V9&lt;&gt;"",V9-U9+1,0)</f>
        <v>0</v>
      </c>
      <c r="Z9" s="26">
        <f>IF(V9&lt;&gt;"",W$3*X9*(YEAR(V9)-YEAR(U9)+1),0)</f>
        <v>0</v>
      </c>
    </row>
    <row r="10" spans="1:26" x14ac:dyDescent="0.2">
      <c r="D10" s="9">
        <v>0</v>
      </c>
      <c r="F10" s="2" t="s">
        <v>333</v>
      </c>
      <c r="G10" s="27">
        <f>IF(H10&lt;&gt;"",MAX(G$3,DATE(YEAR(H$3),1,1)),"")</f>
        <v>1</v>
      </c>
      <c r="H10" s="27">
        <f>IF(AND(YEAR(G$3)&lt;YEAR(G$11),YEAR(H$3)&lt;YEAR(G$11)),DATE(YEAR(H$3),12,31),"")</f>
        <v>366</v>
      </c>
      <c r="I10" s="15">
        <f>IF(H10&lt;&gt;"",MOD(DATE(YEAR(H10),12,31)-DATE(YEAR(G10),1,1)+1,365),0)</f>
        <v>1</v>
      </c>
      <c r="J10" s="25">
        <f>IF(K$3="nominal",J$3,IF(K$3="-Punkte über Basiszinssatz",J$3+$D10,0))</f>
        <v>0.05</v>
      </c>
      <c r="K10" s="23">
        <f>IF(H10&lt;&gt;"",MAX(MIN(H10,H$3)-MAX(G10,G$3)+1,0),0)</f>
        <v>0</v>
      </c>
      <c r="L10" s="26">
        <f>I$3*J10/(365+I10)*K10</f>
        <v>0</v>
      </c>
      <c r="N10" s="27">
        <f>IF(O10&lt;&gt;"",MAX(N$3,DATE(YEAR(O$3),1,1)),"")</f>
        <v>1</v>
      </c>
      <c r="O10" s="27">
        <f>IF(AND(YEAR(N$3)&lt;YEAR(N$11),YEAR(O$3)&lt;YEAR(N$11)),DATE(YEAR(O$3),12,31),"")</f>
        <v>366</v>
      </c>
      <c r="P10" s="15">
        <f>IF(O10&lt;&gt;"",MOD(DATE(YEAR(O10),12,31)-DATE(YEAR(N10),1,1)+1,365),0)</f>
        <v>1</v>
      </c>
      <c r="Q10" s="25">
        <f>IF(R$3="nominal",Q$3,IF(R$3="-Punkte über Basiszinssatz",Q$3+$D10,0))</f>
        <v>0</v>
      </c>
      <c r="R10" s="23">
        <f>IF(O10&lt;&gt;"",MAX(MIN(O10,O$3)-MAX(N10,N$3)+1,0),0)</f>
        <v>0</v>
      </c>
      <c r="S10" s="26">
        <f>P$3*Q10/(365+P10)*R10</f>
        <v>0</v>
      </c>
      <c r="U10" s="27">
        <f>IF(V10&lt;&gt;"",MAX(U$3,DATE(YEAR(V$3),1,1)),"")</f>
        <v>1</v>
      </c>
      <c r="V10" s="27">
        <f>IF(AND(YEAR(U$3)&lt;YEAR(U$11),YEAR(V$3)&lt;YEAR(U$11)),DATE(YEAR(V$3),12,31),"")</f>
        <v>366</v>
      </c>
      <c r="W10" s="15">
        <f>IF(V10&lt;&gt;"",MOD(DATE(YEAR(V10),12,31)-DATE(YEAR(U10),1,1)+1,365),0)</f>
        <v>1</v>
      </c>
      <c r="X10" s="25">
        <f>IF(Y$3="nominal",X$3,IF(Y$3="-Punkte über Basiszinssatz",X$3+$D10,0))</f>
        <v>0</v>
      </c>
      <c r="Y10" s="23">
        <f>IF(V10&lt;&gt;"",MAX(MIN(V10,V$3)-MAX(U10,U$3)+1,0),0)</f>
        <v>0</v>
      </c>
      <c r="Z10" s="26">
        <f>W$3*X10/(365+W10)*Y10</f>
        <v>0</v>
      </c>
    </row>
    <row r="11" spans="1:26" x14ac:dyDescent="0.2">
      <c r="A11" s="6">
        <v>36161</v>
      </c>
      <c r="B11" s="6">
        <v>36280</v>
      </c>
      <c r="C11" s="6" t="s">
        <v>586</v>
      </c>
      <c r="D11" s="10">
        <v>2.5000000000000001E-2</v>
      </c>
      <c r="G11" s="24">
        <f t="shared" ref="G11:G70" si="2">$A11</f>
        <v>36161</v>
      </c>
      <c r="H11" s="24">
        <f t="shared" ref="H11:H70" si="3">$B11</f>
        <v>36280</v>
      </c>
      <c r="I11" s="15">
        <f t="shared" si="0"/>
        <v>0</v>
      </c>
      <c r="J11" s="25">
        <f t="shared" si="1"/>
        <v>7.5000000000000011E-2</v>
      </c>
      <c r="K11" s="23">
        <f t="shared" ref="K11:K70" si="4">MAX(MIN(H11,H$3)-MAX(G11,G$3)+1,0)</f>
        <v>0</v>
      </c>
      <c r="L11" s="26">
        <f t="shared" ref="L11:L70" si="5">I$3*J11/(365+I11)*K11</f>
        <v>0</v>
      </c>
      <c r="N11" s="24">
        <f t="shared" ref="N11:N70" si="6">$A11</f>
        <v>36161</v>
      </c>
      <c r="O11" s="24">
        <f t="shared" ref="O11:O70" si="7">$B11</f>
        <v>36280</v>
      </c>
      <c r="P11" s="15">
        <f t="shared" ref="P11:P71" si="8">IF(O11&lt;&gt;"",MOD(DATE(YEAR(O11),12,31)-DATE(YEAR(N11),1,1)+1,365),0)</f>
        <v>0</v>
      </c>
      <c r="Q11" s="25">
        <f t="shared" ref="Q11:Q73" si="9">IF(R$3="nominal",Q$3,IF(R$3="-Punkte über Basiszinssatz",Q$3+$D11,0))</f>
        <v>0</v>
      </c>
      <c r="R11" s="23">
        <f t="shared" ref="R11:R70" si="10">MAX(MIN(O11,O$3)-MAX(N11,N$3)+1,0)</f>
        <v>0</v>
      </c>
      <c r="S11" s="26">
        <f t="shared" ref="S11:S71" si="11">P$3*Q11/(365+P11)*R11</f>
        <v>0</v>
      </c>
      <c r="U11" s="24">
        <f t="shared" ref="U11:U70" si="12">$A11</f>
        <v>36161</v>
      </c>
      <c r="V11" s="24">
        <f t="shared" ref="V11:V70" si="13">$B11</f>
        <v>36280</v>
      </c>
      <c r="W11" s="15">
        <f t="shared" ref="W11:W71" si="14">IF(V11&lt;&gt;"",MOD(DATE(YEAR(V11),12,31)-DATE(YEAR(U11),1,1)+1,365),0)</f>
        <v>0</v>
      </c>
      <c r="X11" s="25">
        <f t="shared" ref="X11:X73" si="15">IF(Y$3="nominal",X$3,IF(Y$3="-Punkte über Basiszinssatz",X$3+$D11,0))</f>
        <v>0</v>
      </c>
      <c r="Y11" s="23">
        <f t="shared" ref="Y11:Y70" si="16">MAX(MIN(V11,V$3)-MAX(U11,U$3)+1,0)</f>
        <v>0</v>
      </c>
      <c r="Z11" s="26">
        <f t="shared" ref="Z11:Z71" si="17">W$3*X11/(365+W11)*Y11</f>
        <v>0</v>
      </c>
    </row>
    <row r="12" spans="1:26" x14ac:dyDescent="0.2">
      <c r="A12" s="6">
        <v>36281</v>
      </c>
      <c r="B12" s="6">
        <v>36403</v>
      </c>
      <c r="C12" s="6"/>
      <c r="D12" s="10">
        <v>1.95E-2</v>
      </c>
      <c r="G12" s="24">
        <f t="shared" si="2"/>
        <v>36281</v>
      </c>
      <c r="H12" s="24">
        <f t="shared" si="3"/>
        <v>36403</v>
      </c>
      <c r="I12" s="15">
        <f t="shared" si="0"/>
        <v>0</v>
      </c>
      <c r="J12" s="25">
        <f t="shared" si="1"/>
        <v>6.9500000000000006E-2</v>
      </c>
      <c r="K12" s="23">
        <f t="shared" si="4"/>
        <v>0</v>
      </c>
      <c r="L12" s="26">
        <f t="shared" si="5"/>
        <v>0</v>
      </c>
      <c r="N12" s="24">
        <f t="shared" si="6"/>
        <v>36281</v>
      </c>
      <c r="O12" s="24">
        <f t="shared" si="7"/>
        <v>36403</v>
      </c>
      <c r="P12" s="15">
        <f t="shared" si="8"/>
        <v>0</v>
      </c>
      <c r="Q12" s="25">
        <f t="shared" si="9"/>
        <v>0</v>
      </c>
      <c r="R12" s="23">
        <f t="shared" si="10"/>
        <v>0</v>
      </c>
      <c r="S12" s="26">
        <f t="shared" si="11"/>
        <v>0</v>
      </c>
      <c r="U12" s="24">
        <f t="shared" si="12"/>
        <v>36281</v>
      </c>
      <c r="V12" s="24">
        <f t="shared" si="13"/>
        <v>36403</v>
      </c>
      <c r="W12" s="15">
        <f t="shared" si="14"/>
        <v>0</v>
      </c>
      <c r="X12" s="25">
        <f t="shared" si="15"/>
        <v>0</v>
      </c>
      <c r="Y12" s="23">
        <f t="shared" si="16"/>
        <v>0</v>
      </c>
      <c r="Z12" s="26">
        <f t="shared" si="17"/>
        <v>0</v>
      </c>
    </row>
    <row r="13" spans="1:26" x14ac:dyDescent="0.2">
      <c r="A13" s="6">
        <v>36404</v>
      </c>
      <c r="B13" s="6">
        <v>36525</v>
      </c>
      <c r="C13" s="6"/>
      <c r="D13" s="10">
        <v>1.95E-2</v>
      </c>
      <c r="G13" s="24">
        <f t="shared" si="2"/>
        <v>36404</v>
      </c>
      <c r="H13" s="24">
        <f t="shared" si="3"/>
        <v>36525</v>
      </c>
      <c r="I13" s="15">
        <f t="shared" si="0"/>
        <v>0</v>
      </c>
      <c r="J13" s="25">
        <f t="shared" si="1"/>
        <v>6.9500000000000006E-2</v>
      </c>
      <c r="K13" s="23">
        <f t="shared" si="4"/>
        <v>0</v>
      </c>
      <c r="L13" s="26">
        <f t="shared" si="5"/>
        <v>0</v>
      </c>
      <c r="N13" s="24">
        <f t="shared" si="6"/>
        <v>36404</v>
      </c>
      <c r="O13" s="24">
        <f t="shared" si="7"/>
        <v>36525</v>
      </c>
      <c r="P13" s="15">
        <f t="shared" si="8"/>
        <v>0</v>
      </c>
      <c r="Q13" s="25">
        <f t="shared" si="9"/>
        <v>0</v>
      </c>
      <c r="R13" s="23">
        <f t="shared" si="10"/>
        <v>0</v>
      </c>
      <c r="S13" s="26">
        <f t="shared" si="11"/>
        <v>0</v>
      </c>
      <c r="U13" s="24">
        <f t="shared" si="12"/>
        <v>36404</v>
      </c>
      <c r="V13" s="24">
        <f t="shared" si="13"/>
        <v>36525</v>
      </c>
      <c r="W13" s="15">
        <f t="shared" si="14"/>
        <v>0</v>
      </c>
      <c r="X13" s="25">
        <f t="shared" si="15"/>
        <v>0</v>
      </c>
      <c r="Y13" s="23">
        <f t="shared" si="16"/>
        <v>0</v>
      </c>
      <c r="Z13" s="26">
        <f t="shared" si="17"/>
        <v>0</v>
      </c>
    </row>
    <row r="14" spans="1:26" x14ac:dyDescent="0.2">
      <c r="A14" s="6">
        <v>36526</v>
      </c>
      <c r="B14" s="6">
        <v>36646</v>
      </c>
      <c r="C14" s="6"/>
      <c r="D14" s="7">
        <v>2.6800000000000001E-2</v>
      </c>
      <c r="G14" s="24">
        <f t="shared" si="2"/>
        <v>36526</v>
      </c>
      <c r="H14" s="24">
        <f t="shared" si="3"/>
        <v>36646</v>
      </c>
      <c r="I14" s="15">
        <f t="shared" si="0"/>
        <v>1</v>
      </c>
      <c r="J14" s="25">
        <f t="shared" si="1"/>
        <v>7.6800000000000007E-2</v>
      </c>
      <c r="K14" s="23">
        <f t="shared" si="4"/>
        <v>0</v>
      </c>
      <c r="L14" s="26">
        <f t="shared" si="5"/>
        <v>0</v>
      </c>
      <c r="N14" s="24">
        <f t="shared" si="6"/>
        <v>36526</v>
      </c>
      <c r="O14" s="24">
        <f t="shared" si="7"/>
        <v>36646</v>
      </c>
      <c r="P14" s="15">
        <f t="shared" si="8"/>
        <v>1</v>
      </c>
      <c r="Q14" s="25">
        <f t="shared" si="9"/>
        <v>0</v>
      </c>
      <c r="R14" s="23">
        <f t="shared" si="10"/>
        <v>0</v>
      </c>
      <c r="S14" s="26">
        <f t="shared" si="11"/>
        <v>0</v>
      </c>
      <c r="U14" s="24">
        <f t="shared" si="12"/>
        <v>36526</v>
      </c>
      <c r="V14" s="24">
        <f t="shared" si="13"/>
        <v>36646</v>
      </c>
      <c r="W14" s="15">
        <f t="shared" si="14"/>
        <v>1</v>
      </c>
      <c r="X14" s="25">
        <f t="shared" si="15"/>
        <v>0</v>
      </c>
      <c r="Y14" s="23">
        <f t="shared" si="16"/>
        <v>0</v>
      </c>
      <c r="Z14" s="26">
        <f t="shared" si="17"/>
        <v>0</v>
      </c>
    </row>
    <row r="15" spans="1:26" x14ac:dyDescent="0.2">
      <c r="A15" s="6">
        <v>36647</v>
      </c>
      <c r="B15" s="6">
        <v>36769</v>
      </c>
      <c r="C15" s="6"/>
      <c r="D15" s="7">
        <v>3.4200000000000001E-2</v>
      </c>
      <c r="G15" s="24">
        <f t="shared" si="2"/>
        <v>36647</v>
      </c>
      <c r="H15" s="24">
        <f t="shared" si="3"/>
        <v>36769</v>
      </c>
      <c r="I15" s="15">
        <f t="shared" si="0"/>
        <v>1</v>
      </c>
      <c r="J15" s="25">
        <f t="shared" si="1"/>
        <v>8.4199999999999997E-2</v>
      </c>
      <c r="K15" s="23">
        <f t="shared" si="4"/>
        <v>0</v>
      </c>
      <c r="L15" s="26">
        <f t="shared" si="5"/>
        <v>0</v>
      </c>
      <c r="N15" s="24">
        <f t="shared" si="6"/>
        <v>36647</v>
      </c>
      <c r="O15" s="24">
        <f t="shared" si="7"/>
        <v>36769</v>
      </c>
      <c r="P15" s="15">
        <f t="shared" si="8"/>
        <v>1</v>
      </c>
      <c r="Q15" s="25">
        <f t="shared" si="9"/>
        <v>0</v>
      </c>
      <c r="R15" s="23">
        <f t="shared" si="10"/>
        <v>0</v>
      </c>
      <c r="S15" s="26">
        <f t="shared" si="11"/>
        <v>0</v>
      </c>
      <c r="U15" s="24">
        <f t="shared" si="12"/>
        <v>36647</v>
      </c>
      <c r="V15" s="24">
        <f t="shared" si="13"/>
        <v>36769</v>
      </c>
      <c r="W15" s="15">
        <f t="shared" si="14"/>
        <v>1</v>
      </c>
      <c r="X15" s="25">
        <f t="shared" si="15"/>
        <v>0</v>
      </c>
      <c r="Y15" s="23">
        <f t="shared" si="16"/>
        <v>0</v>
      </c>
      <c r="Z15" s="26">
        <f t="shared" si="17"/>
        <v>0</v>
      </c>
    </row>
    <row r="16" spans="1:26" x14ac:dyDescent="0.2">
      <c r="A16" s="6">
        <v>36770</v>
      </c>
      <c r="B16" s="6">
        <v>36891</v>
      </c>
      <c r="C16" s="6"/>
      <c r="D16" s="7">
        <v>4.2599999999999999E-2</v>
      </c>
      <c r="G16" s="24">
        <f t="shared" si="2"/>
        <v>36770</v>
      </c>
      <c r="H16" s="24">
        <f t="shared" si="3"/>
        <v>36891</v>
      </c>
      <c r="I16" s="15">
        <f t="shared" si="0"/>
        <v>1</v>
      </c>
      <c r="J16" s="25">
        <f t="shared" si="1"/>
        <v>9.2600000000000002E-2</v>
      </c>
      <c r="K16" s="23">
        <f t="shared" si="4"/>
        <v>0</v>
      </c>
      <c r="L16" s="26">
        <f t="shared" si="5"/>
        <v>0</v>
      </c>
      <c r="N16" s="24">
        <f t="shared" si="6"/>
        <v>36770</v>
      </c>
      <c r="O16" s="24">
        <f t="shared" si="7"/>
        <v>36891</v>
      </c>
      <c r="P16" s="15">
        <f t="shared" si="8"/>
        <v>1</v>
      </c>
      <c r="Q16" s="25">
        <f t="shared" si="9"/>
        <v>0</v>
      </c>
      <c r="R16" s="23">
        <f t="shared" si="10"/>
        <v>0</v>
      </c>
      <c r="S16" s="26">
        <f t="shared" si="11"/>
        <v>0</v>
      </c>
      <c r="U16" s="24">
        <f t="shared" si="12"/>
        <v>36770</v>
      </c>
      <c r="V16" s="24">
        <f t="shared" si="13"/>
        <v>36891</v>
      </c>
      <c r="W16" s="15">
        <f t="shared" si="14"/>
        <v>1</v>
      </c>
      <c r="X16" s="25">
        <f t="shared" si="15"/>
        <v>0</v>
      </c>
      <c r="Y16" s="23">
        <f t="shared" si="16"/>
        <v>0</v>
      </c>
      <c r="Z16" s="26">
        <f t="shared" si="17"/>
        <v>0</v>
      </c>
    </row>
    <row r="17" spans="1:26" x14ac:dyDescent="0.2">
      <c r="A17" s="6">
        <v>36892</v>
      </c>
      <c r="B17" s="6">
        <v>37011</v>
      </c>
      <c r="C17" s="6"/>
      <c r="D17" s="7">
        <v>4.2599999999999999E-2</v>
      </c>
      <c r="G17" s="24">
        <f t="shared" si="2"/>
        <v>36892</v>
      </c>
      <c r="H17" s="24">
        <f t="shared" si="3"/>
        <v>37011</v>
      </c>
      <c r="I17" s="15">
        <f t="shared" si="0"/>
        <v>0</v>
      </c>
      <c r="J17" s="25">
        <f t="shared" si="1"/>
        <v>9.2600000000000002E-2</v>
      </c>
      <c r="K17" s="23">
        <f t="shared" si="4"/>
        <v>0</v>
      </c>
      <c r="L17" s="26">
        <f t="shared" si="5"/>
        <v>0</v>
      </c>
      <c r="N17" s="24">
        <f t="shared" si="6"/>
        <v>36892</v>
      </c>
      <c r="O17" s="24">
        <f t="shared" si="7"/>
        <v>37011</v>
      </c>
      <c r="P17" s="15">
        <f t="shared" si="8"/>
        <v>0</v>
      </c>
      <c r="Q17" s="25">
        <f t="shared" si="9"/>
        <v>0</v>
      </c>
      <c r="R17" s="23">
        <f t="shared" si="10"/>
        <v>0</v>
      </c>
      <c r="S17" s="26">
        <f t="shared" si="11"/>
        <v>0</v>
      </c>
      <c r="U17" s="24">
        <f t="shared" si="12"/>
        <v>36892</v>
      </c>
      <c r="V17" s="24">
        <f t="shared" si="13"/>
        <v>37011</v>
      </c>
      <c r="W17" s="15">
        <f t="shared" si="14"/>
        <v>0</v>
      </c>
      <c r="X17" s="25">
        <f t="shared" si="15"/>
        <v>0</v>
      </c>
      <c r="Y17" s="23">
        <f t="shared" si="16"/>
        <v>0</v>
      </c>
      <c r="Z17" s="26">
        <f t="shared" si="17"/>
        <v>0</v>
      </c>
    </row>
    <row r="18" spans="1:26" x14ac:dyDescent="0.2">
      <c r="A18" s="6">
        <v>37012</v>
      </c>
      <c r="B18" s="6">
        <v>37134</v>
      </c>
      <c r="C18" s="6"/>
      <c r="D18" s="7">
        <v>4.2599999999999999E-2</v>
      </c>
      <c r="G18" s="24">
        <f t="shared" si="2"/>
        <v>37012</v>
      </c>
      <c r="H18" s="24">
        <f t="shared" si="3"/>
        <v>37134</v>
      </c>
      <c r="I18" s="15">
        <f t="shared" si="0"/>
        <v>0</v>
      </c>
      <c r="J18" s="25">
        <f t="shared" si="1"/>
        <v>9.2600000000000002E-2</v>
      </c>
      <c r="K18" s="23">
        <f t="shared" si="4"/>
        <v>0</v>
      </c>
      <c r="L18" s="26">
        <f t="shared" si="5"/>
        <v>0</v>
      </c>
      <c r="N18" s="24">
        <f t="shared" si="6"/>
        <v>37012</v>
      </c>
      <c r="O18" s="24">
        <f t="shared" si="7"/>
        <v>37134</v>
      </c>
      <c r="P18" s="15">
        <f t="shared" si="8"/>
        <v>0</v>
      </c>
      <c r="Q18" s="25">
        <f t="shared" si="9"/>
        <v>0</v>
      </c>
      <c r="R18" s="23">
        <f t="shared" si="10"/>
        <v>0</v>
      </c>
      <c r="S18" s="26">
        <f t="shared" si="11"/>
        <v>0</v>
      </c>
      <c r="U18" s="24">
        <f t="shared" si="12"/>
        <v>37012</v>
      </c>
      <c r="V18" s="24">
        <f t="shared" si="13"/>
        <v>37134</v>
      </c>
      <c r="W18" s="15">
        <f t="shared" si="14"/>
        <v>0</v>
      </c>
      <c r="X18" s="25">
        <f t="shared" si="15"/>
        <v>0</v>
      </c>
      <c r="Y18" s="23">
        <f t="shared" si="16"/>
        <v>0</v>
      </c>
      <c r="Z18" s="26">
        <f t="shared" si="17"/>
        <v>0</v>
      </c>
    </row>
    <row r="19" spans="1:26" x14ac:dyDescent="0.2">
      <c r="A19" s="6">
        <v>37135</v>
      </c>
      <c r="B19" s="6">
        <v>37256</v>
      </c>
      <c r="C19" s="6"/>
      <c r="D19" s="7">
        <v>3.6200000000000003E-2</v>
      </c>
      <c r="G19" s="24">
        <f t="shared" si="2"/>
        <v>37135</v>
      </c>
      <c r="H19" s="24">
        <f t="shared" si="3"/>
        <v>37256</v>
      </c>
      <c r="I19" s="15">
        <f t="shared" si="0"/>
        <v>0</v>
      </c>
      <c r="J19" s="25">
        <f t="shared" si="1"/>
        <v>8.6199999999999999E-2</v>
      </c>
      <c r="K19" s="23">
        <f t="shared" si="4"/>
        <v>0</v>
      </c>
      <c r="L19" s="26">
        <f t="shared" si="5"/>
        <v>0</v>
      </c>
      <c r="N19" s="24">
        <f t="shared" si="6"/>
        <v>37135</v>
      </c>
      <c r="O19" s="24">
        <f t="shared" si="7"/>
        <v>37256</v>
      </c>
      <c r="P19" s="15">
        <f t="shared" si="8"/>
        <v>0</v>
      </c>
      <c r="Q19" s="25">
        <f t="shared" si="9"/>
        <v>0</v>
      </c>
      <c r="R19" s="23">
        <f t="shared" si="10"/>
        <v>0</v>
      </c>
      <c r="S19" s="26">
        <f t="shared" si="11"/>
        <v>0</v>
      </c>
      <c r="U19" s="24">
        <f t="shared" si="12"/>
        <v>37135</v>
      </c>
      <c r="V19" s="24">
        <f t="shared" si="13"/>
        <v>37256</v>
      </c>
      <c r="W19" s="15">
        <f t="shared" si="14"/>
        <v>0</v>
      </c>
      <c r="X19" s="25">
        <f t="shared" si="15"/>
        <v>0</v>
      </c>
      <c r="Y19" s="23">
        <f t="shared" si="16"/>
        <v>0</v>
      </c>
      <c r="Z19" s="26">
        <f t="shared" si="17"/>
        <v>0</v>
      </c>
    </row>
    <row r="20" spans="1:26" x14ac:dyDescent="0.2">
      <c r="A20" s="6">
        <v>37257</v>
      </c>
      <c r="B20" s="6">
        <v>37437</v>
      </c>
      <c r="C20" s="6"/>
      <c r="D20" s="7">
        <v>2.5700000000000001E-2</v>
      </c>
      <c r="G20" s="24">
        <f t="shared" si="2"/>
        <v>37257</v>
      </c>
      <c r="H20" s="24">
        <f t="shared" si="3"/>
        <v>37437</v>
      </c>
      <c r="I20" s="15">
        <f t="shared" si="0"/>
        <v>0</v>
      </c>
      <c r="J20" s="25">
        <f t="shared" si="1"/>
        <v>7.5700000000000003E-2</v>
      </c>
      <c r="K20" s="23">
        <f t="shared" si="4"/>
        <v>0</v>
      </c>
      <c r="L20" s="26">
        <f t="shared" si="5"/>
        <v>0</v>
      </c>
      <c r="N20" s="24">
        <f t="shared" si="6"/>
        <v>37257</v>
      </c>
      <c r="O20" s="24">
        <f t="shared" si="7"/>
        <v>37437</v>
      </c>
      <c r="P20" s="15">
        <f t="shared" si="8"/>
        <v>0</v>
      </c>
      <c r="Q20" s="25">
        <f t="shared" si="9"/>
        <v>0</v>
      </c>
      <c r="R20" s="23">
        <f t="shared" si="10"/>
        <v>0</v>
      </c>
      <c r="S20" s="26">
        <f t="shared" si="11"/>
        <v>0</v>
      </c>
      <c r="U20" s="24">
        <f t="shared" si="12"/>
        <v>37257</v>
      </c>
      <c r="V20" s="24">
        <f t="shared" si="13"/>
        <v>37437</v>
      </c>
      <c r="W20" s="15">
        <f t="shared" si="14"/>
        <v>0</v>
      </c>
      <c r="X20" s="25">
        <f t="shared" si="15"/>
        <v>0</v>
      </c>
      <c r="Y20" s="23">
        <f t="shared" si="16"/>
        <v>0</v>
      </c>
      <c r="Z20" s="26">
        <f t="shared" si="17"/>
        <v>0</v>
      </c>
    </row>
    <row r="21" spans="1:26" x14ac:dyDescent="0.2">
      <c r="A21" s="6">
        <v>37438</v>
      </c>
      <c r="B21" s="6">
        <v>37621</v>
      </c>
      <c r="C21" s="6"/>
      <c r="D21" s="7">
        <v>2.47E-2</v>
      </c>
      <c r="G21" s="24">
        <f t="shared" si="2"/>
        <v>37438</v>
      </c>
      <c r="H21" s="24">
        <f t="shared" si="3"/>
        <v>37621</v>
      </c>
      <c r="I21" s="15">
        <f t="shared" si="0"/>
        <v>0</v>
      </c>
      <c r="J21" s="25">
        <f t="shared" si="1"/>
        <v>7.4700000000000003E-2</v>
      </c>
      <c r="K21" s="23">
        <f t="shared" si="4"/>
        <v>0</v>
      </c>
      <c r="L21" s="26">
        <f t="shared" si="5"/>
        <v>0</v>
      </c>
      <c r="N21" s="24">
        <f t="shared" si="6"/>
        <v>37438</v>
      </c>
      <c r="O21" s="24">
        <f t="shared" si="7"/>
        <v>37621</v>
      </c>
      <c r="P21" s="15">
        <f t="shared" si="8"/>
        <v>0</v>
      </c>
      <c r="Q21" s="25">
        <f t="shared" si="9"/>
        <v>0</v>
      </c>
      <c r="R21" s="23">
        <f t="shared" si="10"/>
        <v>0</v>
      </c>
      <c r="S21" s="26">
        <f t="shared" si="11"/>
        <v>0</v>
      </c>
      <c r="U21" s="24">
        <f t="shared" si="12"/>
        <v>37438</v>
      </c>
      <c r="V21" s="24">
        <f t="shared" si="13"/>
        <v>37621</v>
      </c>
      <c r="W21" s="15">
        <f t="shared" si="14"/>
        <v>0</v>
      </c>
      <c r="X21" s="25">
        <f t="shared" si="15"/>
        <v>0</v>
      </c>
      <c r="Y21" s="23">
        <f t="shared" si="16"/>
        <v>0</v>
      </c>
      <c r="Z21" s="26">
        <f t="shared" si="17"/>
        <v>0</v>
      </c>
    </row>
    <row r="22" spans="1:26" x14ac:dyDescent="0.2">
      <c r="A22" s="6">
        <v>37622</v>
      </c>
      <c r="B22" s="6">
        <v>37802</v>
      </c>
      <c r="C22" s="6"/>
      <c r="D22" s="7">
        <v>1.9699999999999999E-2</v>
      </c>
      <c r="G22" s="24">
        <f t="shared" si="2"/>
        <v>37622</v>
      </c>
      <c r="H22" s="24">
        <f t="shared" si="3"/>
        <v>37802</v>
      </c>
      <c r="I22" s="15">
        <f t="shared" si="0"/>
        <v>0</v>
      </c>
      <c r="J22" s="25">
        <f t="shared" si="1"/>
        <v>6.9699999999999998E-2</v>
      </c>
      <c r="K22" s="23">
        <f t="shared" si="4"/>
        <v>0</v>
      </c>
      <c r="L22" s="26">
        <f t="shared" si="5"/>
        <v>0</v>
      </c>
      <c r="N22" s="24">
        <f t="shared" si="6"/>
        <v>37622</v>
      </c>
      <c r="O22" s="24">
        <f t="shared" si="7"/>
        <v>37802</v>
      </c>
      <c r="P22" s="15">
        <f t="shared" si="8"/>
        <v>0</v>
      </c>
      <c r="Q22" s="25">
        <f t="shared" si="9"/>
        <v>0</v>
      </c>
      <c r="R22" s="23">
        <f t="shared" si="10"/>
        <v>0</v>
      </c>
      <c r="S22" s="26">
        <f t="shared" si="11"/>
        <v>0</v>
      </c>
      <c r="U22" s="24">
        <f t="shared" si="12"/>
        <v>37622</v>
      </c>
      <c r="V22" s="24">
        <f t="shared" si="13"/>
        <v>37802</v>
      </c>
      <c r="W22" s="15">
        <f t="shared" si="14"/>
        <v>0</v>
      </c>
      <c r="X22" s="25">
        <f t="shared" si="15"/>
        <v>0</v>
      </c>
      <c r="Y22" s="23">
        <f t="shared" si="16"/>
        <v>0</v>
      </c>
      <c r="Z22" s="26">
        <f t="shared" si="17"/>
        <v>0</v>
      </c>
    </row>
    <row r="23" spans="1:26" x14ac:dyDescent="0.2">
      <c r="A23" s="6">
        <v>37803</v>
      </c>
      <c r="B23" s="6">
        <v>37986</v>
      </c>
      <c r="C23" s="6"/>
      <c r="D23" s="7">
        <v>1.2200000000000001E-2</v>
      </c>
      <c r="G23" s="24">
        <f t="shared" si="2"/>
        <v>37803</v>
      </c>
      <c r="H23" s="24">
        <f t="shared" si="3"/>
        <v>37986</v>
      </c>
      <c r="I23" s="15">
        <f t="shared" si="0"/>
        <v>0</v>
      </c>
      <c r="J23" s="25">
        <f t="shared" si="1"/>
        <v>6.2200000000000005E-2</v>
      </c>
      <c r="K23" s="23">
        <f t="shared" si="4"/>
        <v>0</v>
      </c>
      <c r="L23" s="26">
        <f t="shared" si="5"/>
        <v>0</v>
      </c>
      <c r="N23" s="24">
        <f t="shared" si="6"/>
        <v>37803</v>
      </c>
      <c r="O23" s="24">
        <f t="shared" si="7"/>
        <v>37986</v>
      </c>
      <c r="P23" s="15">
        <f t="shared" si="8"/>
        <v>0</v>
      </c>
      <c r="Q23" s="25">
        <f t="shared" si="9"/>
        <v>0</v>
      </c>
      <c r="R23" s="23">
        <f t="shared" si="10"/>
        <v>0</v>
      </c>
      <c r="S23" s="26">
        <f t="shared" si="11"/>
        <v>0</v>
      </c>
      <c r="U23" s="24">
        <f t="shared" si="12"/>
        <v>37803</v>
      </c>
      <c r="V23" s="24">
        <f t="shared" si="13"/>
        <v>37986</v>
      </c>
      <c r="W23" s="15">
        <f t="shared" si="14"/>
        <v>0</v>
      </c>
      <c r="X23" s="25">
        <f t="shared" si="15"/>
        <v>0</v>
      </c>
      <c r="Y23" s="23">
        <f t="shared" si="16"/>
        <v>0</v>
      </c>
      <c r="Z23" s="26">
        <f t="shared" si="17"/>
        <v>0</v>
      </c>
    </row>
    <row r="24" spans="1:26" x14ac:dyDescent="0.2">
      <c r="A24" s="6">
        <v>37987</v>
      </c>
      <c r="B24" s="6">
        <v>38168</v>
      </c>
      <c r="C24" s="6"/>
      <c r="D24" s="7">
        <v>1.14E-2</v>
      </c>
      <c r="G24" s="24">
        <f t="shared" si="2"/>
        <v>37987</v>
      </c>
      <c r="H24" s="24">
        <f t="shared" si="3"/>
        <v>38168</v>
      </c>
      <c r="I24" s="15">
        <f t="shared" si="0"/>
        <v>1</v>
      </c>
      <c r="J24" s="25">
        <f t="shared" si="1"/>
        <v>6.1400000000000003E-2</v>
      </c>
      <c r="K24" s="23">
        <f t="shared" si="4"/>
        <v>0</v>
      </c>
      <c r="L24" s="26">
        <f t="shared" si="5"/>
        <v>0</v>
      </c>
      <c r="N24" s="24">
        <f t="shared" si="6"/>
        <v>37987</v>
      </c>
      <c r="O24" s="24">
        <f t="shared" si="7"/>
        <v>38168</v>
      </c>
      <c r="P24" s="15">
        <f t="shared" si="8"/>
        <v>1</v>
      </c>
      <c r="Q24" s="25">
        <f t="shared" si="9"/>
        <v>0</v>
      </c>
      <c r="R24" s="23">
        <f t="shared" si="10"/>
        <v>0</v>
      </c>
      <c r="S24" s="26">
        <f t="shared" si="11"/>
        <v>0</v>
      </c>
      <c r="U24" s="24">
        <f t="shared" si="12"/>
        <v>37987</v>
      </c>
      <c r="V24" s="24">
        <f t="shared" si="13"/>
        <v>38168</v>
      </c>
      <c r="W24" s="15">
        <f t="shared" si="14"/>
        <v>1</v>
      </c>
      <c r="X24" s="25">
        <f t="shared" si="15"/>
        <v>0</v>
      </c>
      <c r="Y24" s="23">
        <f t="shared" si="16"/>
        <v>0</v>
      </c>
      <c r="Z24" s="26">
        <f t="shared" si="17"/>
        <v>0</v>
      </c>
    </row>
    <row r="25" spans="1:26" x14ac:dyDescent="0.2">
      <c r="A25" s="6">
        <v>38169</v>
      </c>
      <c r="B25" s="6">
        <v>38352</v>
      </c>
      <c r="C25" s="6"/>
      <c r="D25" s="7">
        <v>1.1299999999999999E-2</v>
      </c>
      <c r="G25" s="24">
        <f t="shared" si="2"/>
        <v>38169</v>
      </c>
      <c r="H25" s="24">
        <f t="shared" si="3"/>
        <v>38352</v>
      </c>
      <c r="I25" s="15">
        <f t="shared" si="0"/>
        <v>1</v>
      </c>
      <c r="J25" s="25">
        <f t="shared" si="1"/>
        <v>6.13E-2</v>
      </c>
      <c r="K25" s="23">
        <f t="shared" si="4"/>
        <v>0</v>
      </c>
      <c r="L25" s="26">
        <f t="shared" si="5"/>
        <v>0</v>
      </c>
      <c r="N25" s="24">
        <f t="shared" si="6"/>
        <v>38169</v>
      </c>
      <c r="O25" s="24">
        <f t="shared" si="7"/>
        <v>38352</v>
      </c>
      <c r="P25" s="15">
        <f t="shared" si="8"/>
        <v>1</v>
      </c>
      <c r="Q25" s="25">
        <f t="shared" si="9"/>
        <v>0</v>
      </c>
      <c r="R25" s="23">
        <f t="shared" si="10"/>
        <v>0</v>
      </c>
      <c r="S25" s="26">
        <f t="shared" si="11"/>
        <v>0</v>
      </c>
      <c r="U25" s="24">
        <f t="shared" si="12"/>
        <v>38169</v>
      </c>
      <c r="V25" s="24">
        <f t="shared" si="13"/>
        <v>38352</v>
      </c>
      <c r="W25" s="15">
        <f t="shared" si="14"/>
        <v>1</v>
      </c>
      <c r="X25" s="25">
        <f t="shared" si="15"/>
        <v>0</v>
      </c>
      <c r="Y25" s="23">
        <f t="shared" si="16"/>
        <v>0</v>
      </c>
      <c r="Z25" s="26">
        <f t="shared" si="17"/>
        <v>0</v>
      </c>
    </row>
    <row r="26" spans="1:26" x14ac:dyDescent="0.2">
      <c r="A26" s="6">
        <v>38353</v>
      </c>
      <c r="B26" s="6">
        <v>38533</v>
      </c>
      <c r="C26" s="6"/>
      <c r="D26" s="7">
        <v>1.21E-2</v>
      </c>
      <c r="G26" s="24">
        <f t="shared" si="2"/>
        <v>38353</v>
      </c>
      <c r="H26" s="24">
        <f t="shared" si="3"/>
        <v>38533</v>
      </c>
      <c r="I26" s="15">
        <f t="shared" si="0"/>
        <v>0</v>
      </c>
      <c r="J26" s="25">
        <f t="shared" si="1"/>
        <v>6.2100000000000002E-2</v>
      </c>
      <c r="K26" s="23">
        <f t="shared" si="4"/>
        <v>0</v>
      </c>
      <c r="L26" s="26">
        <f t="shared" si="5"/>
        <v>0</v>
      </c>
      <c r="N26" s="24">
        <f t="shared" si="6"/>
        <v>38353</v>
      </c>
      <c r="O26" s="24">
        <f t="shared" si="7"/>
        <v>38533</v>
      </c>
      <c r="P26" s="15">
        <f t="shared" si="8"/>
        <v>0</v>
      </c>
      <c r="Q26" s="25">
        <f t="shared" si="9"/>
        <v>0</v>
      </c>
      <c r="R26" s="23">
        <f t="shared" si="10"/>
        <v>0</v>
      </c>
      <c r="S26" s="26">
        <f t="shared" si="11"/>
        <v>0</v>
      </c>
      <c r="U26" s="24">
        <f t="shared" si="12"/>
        <v>38353</v>
      </c>
      <c r="V26" s="24">
        <f t="shared" si="13"/>
        <v>38533</v>
      </c>
      <c r="W26" s="15">
        <f t="shared" si="14"/>
        <v>0</v>
      </c>
      <c r="X26" s="25">
        <f t="shared" si="15"/>
        <v>0</v>
      </c>
      <c r="Y26" s="23">
        <f t="shared" si="16"/>
        <v>0</v>
      </c>
      <c r="Z26" s="26">
        <f t="shared" si="17"/>
        <v>0</v>
      </c>
    </row>
    <row r="27" spans="1:26" x14ac:dyDescent="0.2">
      <c r="A27" s="6">
        <v>38534</v>
      </c>
      <c r="B27" s="6">
        <v>38717</v>
      </c>
      <c r="C27" s="6"/>
      <c r="D27" s="7">
        <v>1.17E-2</v>
      </c>
      <c r="G27" s="24">
        <f t="shared" si="2"/>
        <v>38534</v>
      </c>
      <c r="H27" s="24">
        <f t="shared" si="3"/>
        <v>38717</v>
      </c>
      <c r="I27" s="15">
        <f t="shared" si="0"/>
        <v>0</v>
      </c>
      <c r="J27" s="25">
        <f t="shared" si="1"/>
        <v>6.1700000000000005E-2</v>
      </c>
      <c r="K27" s="23">
        <f t="shared" si="4"/>
        <v>0</v>
      </c>
      <c r="L27" s="26">
        <f t="shared" si="5"/>
        <v>0</v>
      </c>
      <c r="N27" s="24">
        <f t="shared" si="6"/>
        <v>38534</v>
      </c>
      <c r="O27" s="24">
        <f t="shared" si="7"/>
        <v>38717</v>
      </c>
      <c r="P27" s="15">
        <f t="shared" si="8"/>
        <v>0</v>
      </c>
      <c r="Q27" s="25">
        <f t="shared" si="9"/>
        <v>0</v>
      </c>
      <c r="R27" s="23">
        <f t="shared" si="10"/>
        <v>0</v>
      </c>
      <c r="S27" s="26">
        <f t="shared" si="11"/>
        <v>0</v>
      </c>
      <c r="U27" s="24">
        <f t="shared" si="12"/>
        <v>38534</v>
      </c>
      <c r="V27" s="24">
        <f t="shared" si="13"/>
        <v>38717</v>
      </c>
      <c r="W27" s="15">
        <f t="shared" si="14"/>
        <v>0</v>
      </c>
      <c r="X27" s="25">
        <f t="shared" si="15"/>
        <v>0</v>
      </c>
      <c r="Y27" s="23">
        <f t="shared" si="16"/>
        <v>0</v>
      </c>
      <c r="Z27" s="26">
        <f t="shared" si="17"/>
        <v>0</v>
      </c>
    </row>
    <row r="28" spans="1:26" x14ac:dyDescent="0.2">
      <c r="A28" s="6">
        <v>38718</v>
      </c>
      <c r="B28" s="6">
        <v>38898</v>
      </c>
      <c r="C28" s="6"/>
      <c r="D28" s="7">
        <v>1.37E-2</v>
      </c>
      <c r="G28" s="24">
        <f t="shared" si="2"/>
        <v>38718</v>
      </c>
      <c r="H28" s="24">
        <f t="shared" si="3"/>
        <v>38898</v>
      </c>
      <c r="I28" s="15">
        <f t="shared" si="0"/>
        <v>0</v>
      </c>
      <c r="J28" s="25">
        <f t="shared" si="1"/>
        <v>6.3700000000000007E-2</v>
      </c>
      <c r="K28" s="23">
        <f t="shared" si="4"/>
        <v>0</v>
      </c>
      <c r="L28" s="26">
        <f t="shared" si="5"/>
        <v>0</v>
      </c>
      <c r="N28" s="24">
        <f t="shared" si="6"/>
        <v>38718</v>
      </c>
      <c r="O28" s="24">
        <f t="shared" si="7"/>
        <v>38898</v>
      </c>
      <c r="P28" s="15">
        <f t="shared" si="8"/>
        <v>0</v>
      </c>
      <c r="Q28" s="25">
        <f t="shared" si="9"/>
        <v>0</v>
      </c>
      <c r="R28" s="23">
        <f t="shared" si="10"/>
        <v>0</v>
      </c>
      <c r="S28" s="26">
        <f t="shared" si="11"/>
        <v>0</v>
      </c>
      <c r="U28" s="24">
        <f t="shared" si="12"/>
        <v>38718</v>
      </c>
      <c r="V28" s="24">
        <f t="shared" si="13"/>
        <v>38898</v>
      </c>
      <c r="W28" s="15">
        <f t="shared" si="14"/>
        <v>0</v>
      </c>
      <c r="X28" s="25">
        <f t="shared" si="15"/>
        <v>0</v>
      </c>
      <c r="Y28" s="23">
        <f t="shared" si="16"/>
        <v>0</v>
      </c>
      <c r="Z28" s="26">
        <f t="shared" si="17"/>
        <v>0</v>
      </c>
    </row>
    <row r="29" spans="1:26" x14ac:dyDescent="0.2">
      <c r="A29" s="6">
        <v>38899</v>
      </c>
      <c r="B29" s="6">
        <v>39082</v>
      </c>
      <c r="C29" s="6"/>
      <c r="D29" s="7">
        <v>1.95E-2</v>
      </c>
      <c r="G29" s="24">
        <f t="shared" si="2"/>
        <v>38899</v>
      </c>
      <c r="H29" s="24">
        <f t="shared" si="3"/>
        <v>39082</v>
      </c>
      <c r="I29" s="15">
        <f t="shared" si="0"/>
        <v>0</v>
      </c>
      <c r="J29" s="25">
        <f t="shared" si="1"/>
        <v>6.9500000000000006E-2</v>
      </c>
      <c r="K29" s="23">
        <f t="shared" si="4"/>
        <v>0</v>
      </c>
      <c r="L29" s="26">
        <f t="shared" si="5"/>
        <v>0</v>
      </c>
      <c r="N29" s="24">
        <f t="shared" si="6"/>
        <v>38899</v>
      </c>
      <c r="O29" s="24">
        <f t="shared" si="7"/>
        <v>39082</v>
      </c>
      <c r="P29" s="15">
        <f t="shared" si="8"/>
        <v>0</v>
      </c>
      <c r="Q29" s="25">
        <f t="shared" si="9"/>
        <v>0</v>
      </c>
      <c r="R29" s="23">
        <f t="shared" si="10"/>
        <v>0</v>
      </c>
      <c r="S29" s="26">
        <f t="shared" si="11"/>
        <v>0</v>
      </c>
      <c r="U29" s="24">
        <f t="shared" si="12"/>
        <v>38899</v>
      </c>
      <c r="V29" s="24">
        <f t="shared" si="13"/>
        <v>39082</v>
      </c>
      <c r="W29" s="15">
        <f t="shared" si="14"/>
        <v>0</v>
      </c>
      <c r="X29" s="25">
        <f t="shared" si="15"/>
        <v>0</v>
      </c>
      <c r="Y29" s="23">
        <f t="shared" si="16"/>
        <v>0</v>
      </c>
      <c r="Z29" s="26">
        <f t="shared" si="17"/>
        <v>0</v>
      </c>
    </row>
    <row r="30" spans="1:26" x14ac:dyDescent="0.2">
      <c r="A30" s="6">
        <v>39083</v>
      </c>
      <c r="B30" s="6">
        <v>39263</v>
      </c>
      <c r="C30" s="6"/>
      <c r="D30" s="7">
        <v>2.7E-2</v>
      </c>
      <c r="G30" s="24">
        <f t="shared" si="2"/>
        <v>39083</v>
      </c>
      <c r="H30" s="24">
        <f t="shared" si="3"/>
        <v>39263</v>
      </c>
      <c r="I30" s="15">
        <f t="shared" si="0"/>
        <v>0</v>
      </c>
      <c r="J30" s="25">
        <f t="shared" si="1"/>
        <v>7.6999999999999999E-2</v>
      </c>
      <c r="K30" s="23">
        <f t="shared" si="4"/>
        <v>0</v>
      </c>
      <c r="L30" s="26">
        <f t="shared" si="5"/>
        <v>0</v>
      </c>
      <c r="N30" s="24">
        <f t="shared" si="6"/>
        <v>39083</v>
      </c>
      <c r="O30" s="24">
        <f t="shared" si="7"/>
        <v>39263</v>
      </c>
      <c r="P30" s="15">
        <f t="shared" si="8"/>
        <v>0</v>
      </c>
      <c r="Q30" s="25">
        <f t="shared" si="9"/>
        <v>0</v>
      </c>
      <c r="R30" s="23">
        <f t="shared" si="10"/>
        <v>0</v>
      </c>
      <c r="S30" s="26">
        <f t="shared" si="11"/>
        <v>0</v>
      </c>
      <c r="U30" s="24">
        <f t="shared" si="12"/>
        <v>39083</v>
      </c>
      <c r="V30" s="24">
        <f t="shared" si="13"/>
        <v>39263</v>
      </c>
      <c r="W30" s="15">
        <f t="shared" si="14"/>
        <v>0</v>
      </c>
      <c r="X30" s="25">
        <f t="shared" si="15"/>
        <v>0</v>
      </c>
      <c r="Y30" s="23">
        <f t="shared" si="16"/>
        <v>0</v>
      </c>
      <c r="Z30" s="26">
        <f t="shared" si="17"/>
        <v>0</v>
      </c>
    </row>
    <row r="31" spans="1:26" x14ac:dyDescent="0.2">
      <c r="A31" s="6">
        <v>39264</v>
      </c>
      <c r="B31" s="6">
        <v>39447</v>
      </c>
      <c r="C31" s="6"/>
      <c r="D31" s="7">
        <v>3.1899999999999998E-2</v>
      </c>
      <c r="G31" s="24">
        <f t="shared" si="2"/>
        <v>39264</v>
      </c>
      <c r="H31" s="24">
        <f t="shared" si="3"/>
        <v>39447</v>
      </c>
      <c r="I31" s="15">
        <f t="shared" si="0"/>
        <v>0</v>
      </c>
      <c r="J31" s="25">
        <f t="shared" si="1"/>
        <v>8.1900000000000001E-2</v>
      </c>
      <c r="K31" s="23">
        <f t="shared" si="4"/>
        <v>0</v>
      </c>
      <c r="L31" s="26">
        <f t="shared" si="5"/>
        <v>0</v>
      </c>
      <c r="N31" s="24">
        <f t="shared" si="6"/>
        <v>39264</v>
      </c>
      <c r="O31" s="24">
        <f t="shared" si="7"/>
        <v>39447</v>
      </c>
      <c r="P31" s="15">
        <f t="shared" si="8"/>
        <v>0</v>
      </c>
      <c r="Q31" s="25">
        <f t="shared" si="9"/>
        <v>0</v>
      </c>
      <c r="R31" s="23">
        <f t="shared" si="10"/>
        <v>0</v>
      </c>
      <c r="S31" s="26">
        <f t="shared" si="11"/>
        <v>0</v>
      </c>
      <c r="U31" s="24">
        <f t="shared" si="12"/>
        <v>39264</v>
      </c>
      <c r="V31" s="24">
        <f t="shared" si="13"/>
        <v>39447</v>
      </c>
      <c r="W31" s="15">
        <f t="shared" si="14"/>
        <v>0</v>
      </c>
      <c r="X31" s="25">
        <f t="shared" si="15"/>
        <v>0</v>
      </c>
      <c r="Y31" s="23">
        <f t="shared" si="16"/>
        <v>0</v>
      </c>
      <c r="Z31" s="26">
        <f t="shared" si="17"/>
        <v>0</v>
      </c>
    </row>
    <row r="32" spans="1:26" x14ac:dyDescent="0.2">
      <c r="A32" s="6">
        <v>39448</v>
      </c>
      <c r="B32" s="6">
        <v>39629</v>
      </c>
      <c r="C32" s="6"/>
      <c r="D32" s="7">
        <v>3.32E-2</v>
      </c>
      <c r="G32" s="24">
        <f t="shared" si="2"/>
        <v>39448</v>
      </c>
      <c r="H32" s="24">
        <f t="shared" si="3"/>
        <v>39629</v>
      </c>
      <c r="I32" s="15">
        <f t="shared" si="0"/>
        <v>1</v>
      </c>
      <c r="J32" s="25">
        <f t="shared" si="1"/>
        <v>8.3199999999999996E-2</v>
      </c>
      <c r="K32" s="23">
        <f t="shared" si="4"/>
        <v>0</v>
      </c>
      <c r="L32" s="26">
        <f t="shared" si="5"/>
        <v>0</v>
      </c>
      <c r="N32" s="24">
        <f t="shared" si="6"/>
        <v>39448</v>
      </c>
      <c r="O32" s="24">
        <f t="shared" si="7"/>
        <v>39629</v>
      </c>
      <c r="P32" s="15">
        <f t="shared" si="8"/>
        <v>1</v>
      </c>
      <c r="Q32" s="25">
        <f t="shared" si="9"/>
        <v>0</v>
      </c>
      <c r="R32" s="23">
        <f t="shared" si="10"/>
        <v>0</v>
      </c>
      <c r="S32" s="26">
        <f t="shared" si="11"/>
        <v>0</v>
      </c>
      <c r="U32" s="24">
        <f t="shared" si="12"/>
        <v>39448</v>
      </c>
      <c r="V32" s="24">
        <f t="shared" si="13"/>
        <v>39629</v>
      </c>
      <c r="W32" s="15">
        <f t="shared" si="14"/>
        <v>1</v>
      </c>
      <c r="X32" s="25">
        <f t="shared" si="15"/>
        <v>0</v>
      </c>
      <c r="Y32" s="23">
        <f t="shared" si="16"/>
        <v>0</v>
      </c>
      <c r="Z32" s="26">
        <f t="shared" si="17"/>
        <v>0</v>
      </c>
    </row>
    <row r="33" spans="1:26" x14ac:dyDescent="0.2">
      <c r="A33" s="6">
        <v>39630</v>
      </c>
      <c r="B33" s="6">
        <v>39813</v>
      </c>
      <c r="C33" s="6"/>
      <c r="D33" s="7">
        <v>3.1899999999999998E-2</v>
      </c>
      <c r="G33" s="24">
        <f t="shared" si="2"/>
        <v>39630</v>
      </c>
      <c r="H33" s="24">
        <f t="shared" si="3"/>
        <v>39813</v>
      </c>
      <c r="I33" s="15">
        <f t="shared" si="0"/>
        <v>1</v>
      </c>
      <c r="J33" s="25">
        <f t="shared" si="1"/>
        <v>8.1900000000000001E-2</v>
      </c>
      <c r="K33" s="23">
        <f t="shared" si="4"/>
        <v>0</v>
      </c>
      <c r="L33" s="26">
        <f t="shared" si="5"/>
        <v>0</v>
      </c>
      <c r="N33" s="24">
        <f t="shared" si="6"/>
        <v>39630</v>
      </c>
      <c r="O33" s="24">
        <f t="shared" si="7"/>
        <v>39813</v>
      </c>
      <c r="P33" s="15">
        <f t="shared" si="8"/>
        <v>1</v>
      </c>
      <c r="Q33" s="25">
        <f t="shared" si="9"/>
        <v>0</v>
      </c>
      <c r="R33" s="23">
        <f t="shared" si="10"/>
        <v>0</v>
      </c>
      <c r="S33" s="26">
        <f t="shared" si="11"/>
        <v>0</v>
      </c>
      <c r="U33" s="24">
        <f t="shared" si="12"/>
        <v>39630</v>
      </c>
      <c r="V33" s="24">
        <f t="shared" si="13"/>
        <v>39813</v>
      </c>
      <c r="W33" s="15">
        <f t="shared" si="14"/>
        <v>1</v>
      </c>
      <c r="X33" s="25">
        <f t="shared" si="15"/>
        <v>0</v>
      </c>
      <c r="Y33" s="23">
        <f t="shared" si="16"/>
        <v>0</v>
      </c>
      <c r="Z33" s="26">
        <f t="shared" si="17"/>
        <v>0</v>
      </c>
    </row>
    <row r="34" spans="1:26" x14ac:dyDescent="0.2">
      <c r="A34" s="6">
        <v>39814</v>
      </c>
      <c r="B34" s="6">
        <v>39994</v>
      </c>
      <c r="C34" s="6"/>
      <c r="D34" s="7">
        <v>1.6199999999999999E-2</v>
      </c>
      <c r="G34" s="24">
        <f t="shared" si="2"/>
        <v>39814</v>
      </c>
      <c r="H34" s="24">
        <f t="shared" si="3"/>
        <v>39994</v>
      </c>
      <c r="I34" s="15">
        <f t="shared" si="0"/>
        <v>0</v>
      </c>
      <c r="J34" s="25">
        <f t="shared" si="1"/>
        <v>6.6200000000000009E-2</v>
      </c>
      <c r="K34" s="23">
        <f t="shared" si="4"/>
        <v>0</v>
      </c>
      <c r="L34" s="26">
        <f t="shared" si="5"/>
        <v>0</v>
      </c>
      <c r="N34" s="24">
        <f t="shared" si="6"/>
        <v>39814</v>
      </c>
      <c r="O34" s="24">
        <f t="shared" si="7"/>
        <v>39994</v>
      </c>
      <c r="P34" s="15">
        <f t="shared" si="8"/>
        <v>0</v>
      </c>
      <c r="Q34" s="25">
        <f t="shared" si="9"/>
        <v>0</v>
      </c>
      <c r="R34" s="23">
        <f t="shared" si="10"/>
        <v>0</v>
      </c>
      <c r="S34" s="26">
        <f t="shared" si="11"/>
        <v>0</v>
      </c>
      <c r="U34" s="24">
        <f t="shared" si="12"/>
        <v>39814</v>
      </c>
      <c r="V34" s="24">
        <f t="shared" si="13"/>
        <v>39994</v>
      </c>
      <c r="W34" s="15">
        <f t="shared" si="14"/>
        <v>0</v>
      </c>
      <c r="X34" s="25">
        <f t="shared" si="15"/>
        <v>0</v>
      </c>
      <c r="Y34" s="23">
        <f t="shared" si="16"/>
        <v>0</v>
      </c>
      <c r="Z34" s="26">
        <f t="shared" si="17"/>
        <v>0</v>
      </c>
    </row>
    <row r="35" spans="1:26" x14ac:dyDescent="0.2">
      <c r="A35" s="6">
        <v>39995</v>
      </c>
      <c r="B35" s="6">
        <v>40178</v>
      </c>
      <c r="C35" s="6"/>
      <c r="D35" s="7">
        <v>1.1999999999999999E-3</v>
      </c>
      <c r="G35" s="24">
        <f t="shared" si="2"/>
        <v>39995</v>
      </c>
      <c r="H35" s="24">
        <f t="shared" si="3"/>
        <v>40178</v>
      </c>
      <c r="I35" s="15">
        <f t="shared" si="0"/>
        <v>0</v>
      </c>
      <c r="J35" s="25">
        <f t="shared" si="1"/>
        <v>5.1200000000000002E-2</v>
      </c>
      <c r="K35" s="23">
        <f t="shared" si="4"/>
        <v>0</v>
      </c>
      <c r="L35" s="26">
        <f t="shared" si="5"/>
        <v>0</v>
      </c>
      <c r="N35" s="24">
        <f t="shared" si="6"/>
        <v>39995</v>
      </c>
      <c r="O35" s="24">
        <f t="shared" si="7"/>
        <v>40178</v>
      </c>
      <c r="P35" s="15">
        <f t="shared" si="8"/>
        <v>0</v>
      </c>
      <c r="Q35" s="25">
        <f t="shared" si="9"/>
        <v>0</v>
      </c>
      <c r="R35" s="23">
        <f t="shared" si="10"/>
        <v>0</v>
      </c>
      <c r="S35" s="26">
        <f t="shared" si="11"/>
        <v>0</v>
      </c>
      <c r="U35" s="24">
        <f t="shared" si="12"/>
        <v>39995</v>
      </c>
      <c r="V35" s="24">
        <f t="shared" si="13"/>
        <v>40178</v>
      </c>
      <c r="W35" s="15">
        <f t="shared" si="14"/>
        <v>0</v>
      </c>
      <c r="X35" s="25">
        <f t="shared" si="15"/>
        <v>0</v>
      </c>
      <c r="Y35" s="23">
        <f t="shared" si="16"/>
        <v>0</v>
      </c>
      <c r="Z35" s="26">
        <f t="shared" si="17"/>
        <v>0</v>
      </c>
    </row>
    <row r="36" spans="1:26" x14ac:dyDescent="0.2">
      <c r="A36" s="6">
        <v>40179</v>
      </c>
      <c r="B36" s="6">
        <v>40359</v>
      </c>
      <c r="C36" s="6"/>
      <c r="D36" s="7">
        <v>1.1999999999999999E-3</v>
      </c>
      <c r="G36" s="24">
        <f t="shared" si="2"/>
        <v>40179</v>
      </c>
      <c r="H36" s="24">
        <f t="shared" si="3"/>
        <v>40359</v>
      </c>
      <c r="I36" s="15">
        <f t="shared" si="0"/>
        <v>0</v>
      </c>
      <c r="J36" s="25">
        <f t="shared" si="1"/>
        <v>5.1200000000000002E-2</v>
      </c>
      <c r="K36" s="23">
        <f t="shared" si="4"/>
        <v>0</v>
      </c>
      <c r="L36" s="26">
        <f t="shared" si="5"/>
        <v>0</v>
      </c>
      <c r="N36" s="24">
        <f t="shared" si="6"/>
        <v>40179</v>
      </c>
      <c r="O36" s="24">
        <f t="shared" si="7"/>
        <v>40359</v>
      </c>
      <c r="P36" s="15">
        <f t="shared" si="8"/>
        <v>0</v>
      </c>
      <c r="Q36" s="25">
        <f t="shared" si="9"/>
        <v>0</v>
      </c>
      <c r="R36" s="23">
        <f t="shared" si="10"/>
        <v>0</v>
      </c>
      <c r="S36" s="26">
        <f t="shared" si="11"/>
        <v>0</v>
      </c>
      <c r="U36" s="24">
        <f t="shared" si="12"/>
        <v>40179</v>
      </c>
      <c r="V36" s="24">
        <f t="shared" si="13"/>
        <v>40359</v>
      </c>
      <c r="W36" s="15">
        <f t="shared" si="14"/>
        <v>0</v>
      </c>
      <c r="X36" s="25">
        <f t="shared" si="15"/>
        <v>0</v>
      </c>
      <c r="Y36" s="23">
        <f t="shared" si="16"/>
        <v>0</v>
      </c>
      <c r="Z36" s="26">
        <f t="shared" si="17"/>
        <v>0</v>
      </c>
    </row>
    <row r="37" spans="1:26" x14ac:dyDescent="0.2">
      <c r="A37" s="6">
        <v>40360</v>
      </c>
      <c r="B37" s="6">
        <v>40543</v>
      </c>
      <c r="C37" s="6"/>
      <c r="D37" s="7">
        <v>1.1999999999999999E-3</v>
      </c>
      <c r="G37" s="24">
        <f t="shared" si="2"/>
        <v>40360</v>
      </c>
      <c r="H37" s="24">
        <f t="shared" si="3"/>
        <v>40543</v>
      </c>
      <c r="I37" s="15">
        <f t="shared" si="0"/>
        <v>0</v>
      </c>
      <c r="J37" s="25">
        <f t="shared" si="1"/>
        <v>5.1200000000000002E-2</v>
      </c>
      <c r="K37" s="23">
        <f t="shared" si="4"/>
        <v>0</v>
      </c>
      <c r="L37" s="26">
        <f t="shared" si="5"/>
        <v>0</v>
      </c>
      <c r="N37" s="24">
        <f t="shared" si="6"/>
        <v>40360</v>
      </c>
      <c r="O37" s="24">
        <f t="shared" si="7"/>
        <v>40543</v>
      </c>
      <c r="P37" s="15">
        <f t="shared" si="8"/>
        <v>0</v>
      </c>
      <c r="Q37" s="25">
        <f t="shared" si="9"/>
        <v>0</v>
      </c>
      <c r="R37" s="23">
        <f t="shared" si="10"/>
        <v>0</v>
      </c>
      <c r="S37" s="26">
        <f t="shared" si="11"/>
        <v>0</v>
      </c>
      <c r="U37" s="24">
        <f t="shared" si="12"/>
        <v>40360</v>
      </c>
      <c r="V37" s="24">
        <f t="shared" si="13"/>
        <v>40543</v>
      </c>
      <c r="W37" s="15">
        <f t="shared" si="14"/>
        <v>0</v>
      </c>
      <c r="X37" s="25">
        <f t="shared" si="15"/>
        <v>0</v>
      </c>
      <c r="Y37" s="23">
        <f t="shared" si="16"/>
        <v>0</v>
      </c>
      <c r="Z37" s="26">
        <f t="shared" si="17"/>
        <v>0</v>
      </c>
    </row>
    <row r="38" spans="1:26" x14ac:dyDescent="0.2">
      <c r="A38" s="6">
        <v>40544</v>
      </c>
      <c r="B38" s="6">
        <v>40724</v>
      </c>
      <c r="C38" s="6"/>
      <c r="D38" s="7">
        <v>1.1999999999999999E-3</v>
      </c>
      <c r="G38" s="24">
        <f t="shared" si="2"/>
        <v>40544</v>
      </c>
      <c r="H38" s="24">
        <f t="shared" si="3"/>
        <v>40724</v>
      </c>
      <c r="I38" s="15">
        <f t="shared" si="0"/>
        <v>0</v>
      </c>
      <c r="J38" s="25">
        <f t="shared" si="1"/>
        <v>5.1200000000000002E-2</v>
      </c>
      <c r="K38" s="23">
        <f t="shared" si="4"/>
        <v>0</v>
      </c>
      <c r="L38" s="26">
        <f t="shared" si="5"/>
        <v>0</v>
      </c>
      <c r="N38" s="24">
        <f t="shared" si="6"/>
        <v>40544</v>
      </c>
      <c r="O38" s="24">
        <f t="shared" si="7"/>
        <v>40724</v>
      </c>
      <c r="P38" s="15">
        <f t="shared" si="8"/>
        <v>0</v>
      </c>
      <c r="Q38" s="25">
        <f t="shared" si="9"/>
        <v>0</v>
      </c>
      <c r="R38" s="23">
        <f t="shared" si="10"/>
        <v>0</v>
      </c>
      <c r="S38" s="26">
        <f t="shared" si="11"/>
        <v>0</v>
      </c>
      <c r="U38" s="24">
        <f t="shared" si="12"/>
        <v>40544</v>
      </c>
      <c r="V38" s="24">
        <f t="shared" si="13"/>
        <v>40724</v>
      </c>
      <c r="W38" s="15">
        <f t="shared" si="14"/>
        <v>0</v>
      </c>
      <c r="X38" s="25">
        <f t="shared" si="15"/>
        <v>0</v>
      </c>
      <c r="Y38" s="23">
        <f t="shared" si="16"/>
        <v>0</v>
      </c>
      <c r="Z38" s="26">
        <f t="shared" si="17"/>
        <v>0</v>
      </c>
    </row>
    <row r="39" spans="1:26" x14ac:dyDescent="0.2">
      <c r="A39" s="6">
        <v>40725</v>
      </c>
      <c r="B39" s="6">
        <v>40908</v>
      </c>
      <c r="C39" s="6"/>
      <c r="D39" s="7">
        <v>3.7000000000000002E-3</v>
      </c>
      <c r="G39" s="24">
        <f t="shared" si="2"/>
        <v>40725</v>
      </c>
      <c r="H39" s="24">
        <f t="shared" si="3"/>
        <v>40908</v>
      </c>
      <c r="I39" s="15">
        <f t="shared" si="0"/>
        <v>0</v>
      </c>
      <c r="J39" s="25">
        <f t="shared" si="1"/>
        <v>5.3700000000000005E-2</v>
      </c>
      <c r="K39" s="23">
        <f t="shared" si="4"/>
        <v>0</v>
      </c>
      <c r="L39" s="26">
        <f t="shared" si="5"/>
        <v>0</v>
      </c>
      <c r="N39" s="24">
        <f t="shared" si="6"/>
        <v>40725</v>
      </c>
      <c r="O39" s="24">
        <f t="shared" si="7"/>
        <v>40908</v>
      </c>
      <c r="P39" s="15">
        <f t="shared" si="8"/>
        <v>0</v>
      </c>
      <c r="Q39" s="25">
        <f t="shared" si="9"/>
        <v>0</v>
      </c>
      <c r="R39" s="23">
        <f t="shared" si="10"/>
        <v>0</v>
      </c>
      <c r="S39" s="26">
        <f t="shared" si="11"/>
        <v>0</v>
      </c>
      <c r="U39" s="24">
        <f t="shared" si="12"/>
        <v>40725</v>
      </c>
      <c r="V39" s="24">
        <f t="shared" si="13"/>
        <v>40908</v>
      </c>
      <c r="W39" s="15">
        <f t="shared" si="14"/>
        <v>0</v>
      </c>
      <c r="X39" s="25">
        <f t="shared" si="15"/>
        <v>0</v>
      </c>
      <c r="Y39" s="23">
        <f t="shared" si="16"/>
        <v>0</v>
      </c>
      <c r="Z39" s="26">
        <f t="shared" si="17"/>
        <v>0</v>
      </c>
    </row>
    <row r="40" spans="1:26" x14ac:dyDescent="0.2">
      <c r="A40" s="6">
        <v>40909</v>
      </c>
      <c r="B40" s="6">
        <v>41090</v>
      </c>
      <c r="C40" s="6"/>
      <c r="D40" s="7">
        <v>1.1999999999999999E-3</v>
      </c>
      <c r="G40" s="24">
        <f t="shared" si="2"/>
        <v>40909</v>
      </c>
      <c r="H40" s="24">
        <f t="shared" si="3"/>
        <v>41090</v>
      </c>
      <c r="I40" s="15">
        <f t="shared" si="0"/>
        <v>1</v>
      </c>
      <c r="J40" s="25">
        <f t="shared" si="1"/>
        <v>5.1200000000000002E-2</v>
      </c>
      <c r="K40" s="23">
        <f t="shared" si="4"/>
        <v>0</v>
      </c>
      <c r="L40" s="26">
        <f t="shared" si="5"/>
        <v>0</v>
      </c>
      <c r="N40" s="24">
        <f t="shared" si="6"/>
        <v>40909</v>
      </c>
      <c r="O40" s="24">
        <f t="shared" si="7"/>
        <v>41090</v>
      </c>
      <c r="P40" s="15">
        <f t="shared" si="8"/>
        <v>1</v>
      </c>
      <c r="Q40" s="25">
        <f t="shared" si="9"/>
        <v>0</v>
      </c>
      <c r="R40" s="23">
        <f t="shared" si="10"/>
        <v>0</v>
      </c>
      <c r="S40" s="26">
        <f t="shared" si="11"/>
        <v>0</v>
      </c>
      <c r="U40" s="24">
        <f t="shared" si="12"/>
        <v>40909</v>
      </c>
      <c r="V40" s="24">
        <f t="shared" si="13"/>
        <v>41090</v>
      </c>
      <c r="W40" s="15">
        <f t="shared" si="14"/>
        <v>1</v>
      </c>
      <c r="X40" s="25">
        <f t="shared" si="15"/>
        <v>0</v>
      </c>
      <c r="Y40" s="23">
        <f t="shared" si="16"/>
        <v>0</v>
      </c>
      <c r="Z40" s="26">
        <f t="shared" si="17"/>
        <v>0</v>
      </c>
    </row>
    <row r="41" spans="1:26" x14ac:dyDescent="0.2">
      <c r="A41" s="6">
        <v>41091</v>
      </c>
      <c r="B41" s="6">
        <v>41274</v>
      </c>
      <c r="C41" s="6"/>
      <c r="D41" s="7">
        <v>1.1999999999999999E-3</v>
      </c>
      <c r="G41" s="24">
        <f t="shared" si="2"/>
        <v>41091</v>
      </c>
      <c r="H41" s="24">
        <f t="shared" si="3"/>
        <v>41274</v>
      </c>
      <c r="I41" s="15">
        <f t="shared" si="0"/>
        <v>1</v>
      </c>
      <c r="J41" s="25">
        <f t="shared" si="1"/>
        <v>5.1200000000000002E-2</v>
      </c>
      <c r="K41" s="23">
        <f t="shared" si="4"/>
        <v>0</v>
      </c>
      <c r="L41" s="26">
        <f t="shared" si="5"/>
        <v>0</v>
      </c>
      <c r="N41" s="24">
        <f t="shared" si="6"/>
        <v>41091</v>
      </c>
      <c r="O41" s="24">
        <f t="shared" si="7"/>
        <v>41274</v>
      </c>
      <c r="P41" s="15">
        <f t="shared" si="8"/>
        <v>1</v>
      </c>
      <c r="Q41" s="25">
        <f t="shared" si="9"/>
        <v>0</v>
      </c>
      <c r="R41" s="23">
        <f t="shared" si="10"/>
        <v>0</v>
      </c>
      <c r="S41" s="26">
        <f t="shared" si="11"/>
        <v>0</v>
      </c>
      <c r="U41" s="24">
        <f t="shared" si="12"/>
        <v>41091</v>
      </c>
      <c r="V41" s="24">
        <f t="shared" si="13"/>
        <v>41274</v>
      </c>
      <c r="W41" s="15">
        <f t="shared" si="14"/>
        <v>1</v>
      </c>
      <c r="X41" s="25">
        <f t="shared" si="15"/>
        <v>0</v>
      </c>
      <c r="Y41" s="23">
        <f t="shared" si="16"/>
        <v>0</v>
      </c>
      <c r="Z41" s="26">
        <f t="shared" si="17"/>
        <v>0</v>
      </c>
    </row>
    <row r="42" spans="1:26" x14ac:dyDescent="0.2">
      <c r="A42" s="6">
        <v>41275</v>
      </c>
      <c r="B42" s="6">
        <v>41455</v>
      </c>
      <c r="C42" s="6"/>
      <c r="D42" s="7">
        <v>-1.2999999999999999E-3</v>
      </c>
      <c r="G42" s="24">
        <f t="shared" si="2"/>
        <v>41275</v>
      </c>
      <c r="H42" s="24">
        <f t="shared" si="3"/>
        <v>41455</v>
      </c>
      <c r="I42" s="15">
        <f t="shared" si="0"/>
        <v>0</v>
      </c>
      <c r="J42" s="25">
        <f t="shared" si="1"/>
        <v>4.87E-2</v>
      </c>
      <c r="K42" s="23">
        <f t="shared" si="4"/>
        <v>0</v>
      </c>
      <c r="L42" s="26">
        <f t="shared" si="5"/>
        <v>0</v>
      </c>
      <c r="N42" s="24">
        <f t="shared" si="6"/>
        <v>41275</v>
      </c>
      <c r="O42" s="24">
        <f t="shared" si="7"/>
        <v>41455</v>
      </c>
      <c r="P42" s="15">
        <f t="shared" si="8"/>
        <v>0</v>
      </c>
      <c r="Q42" s="25">
        <f t="shared" si="9"/>
        <v>0</v>
      </c>
      <c r="R42" s="23">
        <f t="shared" si="10"/>
        <v>0</v>
      </c>
      <c r="S42" s="26">
        <f t="shared" si="11"/>
        <v>0</v>
      </c>
      <c r="U42" s="24">
        <f t="shared" si="12"/>
        <v>41275</v>
      </c>
      <c r="V42" s="24">
        <f t="shared" si="13"/>
        <v>41455</v>
      </c>
      <c r="W42" s="15">
        <f t="shared" si="14"/>
        <v>0</v>
      </c>
      <c r="X42" s="25">
        <f t="shared" si="15"/>
        <v>0</v>
      </c>
      <c r="Y42" s="23">
        <f t="shared" si="16"/>
        <v>0</v>
      </c>
      <c r="Z42" s="26">
        <f t="shared" si="17"/>
        <v>0</v>
      </c>
    </row>
    <row r="43" spans="1:26" x14ac:dyDescent="0.2">
      <c r="A43" s="6">
        <v>41456</v>
      </c>
      <c r="B43" s="6">
        <v>41639</v>
      </c>
      <c r="C43" s="6"/>
      <c r="D43" s="7">
        <v>-3.8E-3</v>
      </c>
      <c r="G43" s="24">
        <f t="shared" si="2"/>
        <v>41456</v>
      </c>
      <c r="H43" s="24">
        <f t="shared" si="3"/>
        <v>41639</v>
      </c>
      <c r="I43" s="15">
        <f t="shared" si="0"/>
        <v>0</v>
      </c>
      <c r="J43" s="25">
        <f t="shared" si="1"/>
        <v>4.6200000000000005E-2</v>
      </c>
      <c r="K43" s="23">
        <f t="shared" si="4"/>
        <v>0</v>
      </c>
      <c r="L43" s="26">
        <f>I$3*J43/(365+I43)*K43</f>
        <v>0</v>
      </c>
      <c r="N43" s="24">
        <f t="shared" si="6"/>
        <v>41456</v>
      </c>
      <c r="O43" s="24">
        <f t="shared" si="7"/>
        <v>41639</v>
      </c>
      <c r="P43" s="15">
        <f t="shared" si="8"/>
        <v>0</v>
      </c>
      <c r="Q43" s="25">
        <f t="shared" si="9"/>
        <v>0</v>
      </c>
      <c r="R43" s="23">
        <f t="shared" si="10"/>
        <v>0</v>
      </c>
      <c r="S43" s="26">
        <f t="shared" si="11"/>
        <v>0</v>
      </c>
      <c r="U43" s="24">
        <f t="shared" si="12"/>
        <v>41456</v>
      </c>
      <c r="V43" s="24">
        <f t="shared" si="13"/>
        <v>41639</v>
      </c>
      <c r="W43" s="15">
        <f t="shared" si="14"/>
        <v>0</v>
      </c>
      <c r="X43" s="25">
        <f t="shared" si="15"/>
        <v>0</v>
      </c>
      <c r="Y43" s="23">
        <f t="shared" si="16"/>
        <v>0</v>
      </c>
      <c r="Z43" s="26">
        <f t="shared" si="17"/>
        <v>0</v>
      </c>
    </row>
    <row r="44" spans="1:26" x14ac:dyDescent="0.2">
      <c r="A44" s="6">
        <v>41640</v>
      </c>
      <c r="B44" s="6">
        <v>41820</v>
      </c>
      <c r="C44" s="6"/>
      <c r="D44" s="7">
        <v>-6.3E-3</v>
      </c>
      <c r="G44" s="24">
        <f t="shared" si="2"/>
        <v>41640</v>
      </c>
      <c r="H44" s="24">
        <f t="shared" si="3"/>
        <v>41820</v>
      </c>
      <c r="I44" s="15">
        <f t="shared" si="0"/>
        <v>0</v>
      </c>
      <c r="J44" s="25">
        <f t="shared" si="1"/>
        <v>4.3700000000000003E-2</v>
      </c>
      <c r="K44" s="23">
        <f t="shared" si="4"/>
        <v>0</v>
      </c>
      <c r="L44" s="26">
        <f>I$3*J44/(365+I44)*K44</f>
        <v>0</v>
      </c>
      <c r="N44" s="24">
        <f t="shared" si="6"/>
        <v>41640</v>
      </c>
      <c r="O44" s="24">
        <f t="shared" si="7"/>
        <v>41820</v>
      </c>
      <c r="P44" s="15">
        <f t="shared" si="8"/>
        <v>0</v>
      </c>
      <c r="Q44" s="25">
        <f t="shared" si="9"/>
        <v>0</v>
      </c>
      <c r="R44" s="23">
        <f t="shared" si="10"/>
        <v>0</v>
      </c>
      <c r="S44" s="26">
        <f t="shared" si="11"/>
        <v>0</v>
      </c>
      <c r="U44" s="24">
        <f t="shared" si="12"/>
        <v>41640</v>
      </c>
      <c r="V44" s="24">
        <f t="shared" si="13"/>
        <v>41820</v>
      </c>
      <c r="W44" s="15">
        <f t="shared" si="14"/>
        <v>0</v>
      </c>
      <c r="X44" s="25">
        <f t="shared" si="15"/>
        <v>0</v>
      </c>
      <c r="Y44" s="23">
        <f t="shared" si="16"/>
        <v>0</v>
      </c>
      <c r="Z44" s="26">
        <f t="shared" si="17"/>
        <v>0</v>
      </c>
    </row>
    <row r="45" spans="1:26" x14ac:dyDescent="0.2">
      <c r="A45" s="6">
        <v>41821</v>
      </c>
      <c r="B45" s="6">
        <v>42004</v>
      </c>
      <c r="C45" s="6"/>
      <c r="D45" s="7">
        <v>-7.3000000000000001E-3</v>
      </c>
      <c r="G45" s="24">
        <f t="shared" si="2"/>
        <v>41821</v>
      </c>
      <c r="H45" s="24">
        <f t="shared" si="3"/>
        <v>42004</v>
      </c>
      <c r="I45" s="15">
        <f t="shared" ref="I45" si="18">IF(H45&lt;&gt;"",MOD(DATE(YEAR(H45),12,31)-DATE(YEAR(G45),1,1)+1,365),0)</f>
        <v>0</v>
      </c>
      <c r="J45" s="25">
        <f t="shared" ref="J45" si="19">IF(K$3="nominal",J$3,IF(K$3="-Punkte über Basiszinssatz",J$3+$D45,0))</f>
        <v>4.2700000000000002E-2</v>
      </c>
      <c r="K45" s="23">
        <f t="shared" ref="K45" si="20">MAX(MIN(H45,H$3)-MAX(G45,G$3)+1,0)</f>
        <v>0</v>
      </c>
      <c r="L45" s="26">
        <f>I$3*J45/(365+I45)*K45</f>
        <v>0</v>
      </c>
      <c r="N45" s="24">
        <f t="shared" si="6"/>
        <v>41821</v>
      </c>
      <c r="O45" s="24">
        <f t="shared" si="7"/>
        <v>42004</v>
      </c>
      <c r="P45" s="15">
        <f t="shared" ref="P45" si="21">IF(O45&lt;&gt;"",MOD(DATE(YEAR(O45),12,31)-DATE(YEAR(N45),1,1)+1,365),0)</f>
        <v>0</v>
      </c>
      <c r="Q45" s="25">
        <f t="shared" ref="Q45" si="22">IF(R$3="nominal",Q$3,IF(R$3="-Punkte über Basiszinssatz",Q$3+$D45,0))</f>
        <v>0</v>
      </c>
      <c r="R45" s="23">
        <f t="shared" ref="R45" si="23">MAX(MIN(O45,O$3)-MAX(N45,N$3)+1,0)</f>
        <v>0</v>
      </c>
      <c r="S45" s="26">
        <f t="shared" ref="S45" si="24">P$3*Q45/(365+P45)*R45</f>
        <v>0</v>
      </c>
      <c r="U45" s="24">
        <f t="shared" si="12"/>
        <v>41821</v>
      </c>
      <c r="V45" s="24">
        <f t="shared" si="13"/>
        <v>42004</v>
      </c>
      <c r="W45" s="15">
        <f t="shared" ref="W45" si="25">IF(V45&lt;&gt;"",MOD(DATE(YEAR(V45),12,31)-DATE(YEAR(U45),1,1)+1,365),0)</f>
        <v>0</v>
      </c>
      <c r="X45" s="25">
        <f t="shared" ref="X45" si="26">IF(Y$3="nominal",X$3,IF(Y$3="-Punkte über Basiszinssatz",X$3+$D45,0))</f>
        <v>0</v>
      </c>
      <c r="Y45" s="23">
        <f t="shared" ref="Y45" si="27">MAX(MIN(V45,V$3)-MAX(U45,U$3)+1,0)</f>
        <v>0</v>
      </c>
      <c r="Z45" s="26">
        <f t="shared" ref="Z45" si="28">W$3*X45/(365+W45)*Y45</f>
        <v>0</v>
      </c>
    </row>
    <row r="46" spans="1:26" x14ac:dyDescent="0.2">
      <c r="A46" s="6">
        <v>42005</v>
      </c>
      <c r="B46" s="6">
        <v>42185</v>
      </c>
      <c r="C46" s="6"/>
      <c r="D46" s="7">
        <v>-8.3000000000000001E-3</v>
      </c>
      <c r="G46" s="24">
        <f t="shared" si="2"/>
        <v>42005</v>
      </c>
      <c r="H46" s="24">
        <f t="shared" si="3"/>
        <v>42185</v>
      </c>
      <c r="I46" s="15">
        <f t="shared" ref="I46:I68" si="29">IF(H46&lt;&gt;"",MOD(DATE(YEAR(H46),12,31)-DATE(YEAR(G46),1,1)+1,365),0)</f>
        <v>0</v>
      </c>
      <c r="J46" s="25">
        <f t="shared" ref="J46:J68" si="30">IF(K$3="nominal",J$3,IF(K$3="-Punkte über Basiszinssatz",J$3+$D46,0))</f>
        <v>4.1700000000000001E-2</v>
      </c>
      <c r="K46" s="23">
        <f t="shared" ref="K46:K68" si="31">MAX(MIN(H46,H$3)-MAX(G46,G$3)+1,0)</f>
        <v>0</v>
      </c>
      <c r="L46" s="26">
        <f>I$3*J46/(365+I46)*K46</f>
        <v>0</v>
      </c>
      <c r="N46" s="24">
        <f t="shared" si="6"/>
        <v>42005</v>
      </c>
      <c r="O46" s="24">
        <f t="shared" si="7"/>
        <v>42185</v>
      </c>
      <c r="P46" s="15">
        <f t="shared" ref="P46:P68" si="32">IF(O46&lt;&gt;"",MOD(DATE(YEAR(O46),12,31)-DATE(YEAR(N46),1,1)+1,365),0)</f>
        <v>0</v>
      </c>
      <c r="Q46" s="25">
        <f t="shared" ref="Q46:Q68" si="33">IF(R$3="nominal",Q$3,IF(R$3="-Punkte über Basiszinssatz",Q$3+$D46,0))</f>
        <v>0</v>
      </c>
      <c r="R46" s="23">
        <f t="shared" ref="R46:R68" si="34">MAX(MIN(O46,O$3)-MAX(N46,N$3)+1,0)</f>
        <v>0</v>
      </c>
      <c r="S46" s="26">
        <f t="shared" ref="S46:S68" si="35">P$3*Q46/(365+P46)*R46</f>
        <v>0</v>
      </c>
      <c r="U46" s="24">
        <f t="shared" si="12"/>
        <v>42005</v>
      </c>
      <c r="V46" s="24">
        <f t="shared" si="13"/>
        <v>42185</v>
      </c>
      <c r="W46" s="15">
        <f t="shared" ref="W46:W53" si="36">IF(V46&lt;&gt;"",MOD(DATE(YEAR(V46),12,31)-DATE(YEAR(U46),1,1)+1,365),0)</f>
        <v>0</v>
      </c>
      <c r="X46" s="25">
        <f t="shared" ref="X46:X53" si="37">IF(Y$3="nominal",X$3,IF(Y$3="-Punkte über Basiszinssatz",X$3+$D46,0))</f>
        <v>0</v>
      </c>
      <c r="Y46" s="23">
        <f t="shared" ref="Y46:Y53" si="38">MAX(MIN(V46,V$3)-MAX(U46,U$3)+1,0)</f>
        <v>0</v>
      </c>
      <c r="Z46" s="26">
        <f t="shared" ref="Z46:Z53" si="39">W$3*X46/(365+W46)*Y46</f>
        <v>0</v>
      </c>
    </row>
    <row r="47" spans="1:26" x14ac:dyDescent="0.2">
      <c r="A47" s="6">
        <v>42186</v>
      </c>
      <c r="B47" s="6">
        <v>42369</v>
      </c>
      <c r="C47" s="6"/>
      <c r="D47" s="706">
        <v>-8.3000000000000001E-3</v>
      </c>
      <c r="G47" s="24">
        <f t="shared" si="2"/>
        <v>42186</v>
      </c>
      <c r="H47" s="24">
        <f t="shared" si="3"/>
        <v>42369</v>
      </c>
      <c r="I47" s="15">
        <f t="shared" si="29"/>
        <v>0</v>
      </c>
      <c r="J47" s="25">
        <f t="shared" si="30"/>
        <v>4.1700000000000001E-2</v>
      </c>
      <c r="K47" s="23">
        <f t="shared" si="31"/>
        <v>0</v>
      </c>
      <c r="L47" s="26">
        <f t="shared" ref="L47:L68" si="40">I$3*J47/(365+I47)*K47</f>
        <v>0</v>
      </c>
      <c r="N47" s="24">
        <f t="shared" si="6"/>
        <v>42186</v>
      </c>
      <c r="O47" s="24">
        <f t="shared" si="7"/>
        <v>42369</v>
      </c>
      <c r="P47" s="15">
        <f t="shared" si="32"/>
        <v>0</v>
      </c>
      <c r="Q47" s="25">
        <f t="shared" si="33"/>
        <v>0</v>
      </c>
      <c r="R47" s="23">
        <f t="shared" si="34"/>
        <v>0</v>
      </c>
      <c r="S47" s="26">
        <f t="shared" si="35"/>
        <v>0</v>
      </c>
      <c r="U47" s="24">
        <f t="shared" si="12"/>
        <v>42186</v>
      </c>
      <c r="V47" s="24">
        <f t="shared" si="13"/>
        <v>42369</v>
      </c>
      <c r="W47" s="15">
        <f t="shared" si="36"/>
        <v>0</v>
      </c>
      <c r="X47" s="25">
        <f t="shared" si="37"/>
        <v>0</v>
      </c>
      <c r="Y47" s="23">
        <f t="shared" si="38"/>
        <v>0</v>
      </c>
      <c r="Z47" s="26">
        <f t="shared" si="39"/>
        <v>0</v>
      </c>
    </row>
    <row r="48" spans="1:26" x14ac:dyDescent="0.2">
      <c r="A48" s="6">
        <v>42370</v>
      </c>
      <c r="B48" s="6">
        <v>42551</v>
      </c>
      <c r="C48" s="6"/>
      <c r="D48" s="706">
        <v>-8.3000000000000001E-3</v>
      </c>
      <c r="G48" s="24">
        <f t="shared" si="2"/>
        <v>42370</v>
      </c>
      <c r="H48" s="24">
        <f t="shared" si="3"/>
        <v>42551</v>
      </c>
      <c r="I48" s="15">
        <f t="shared" si="29"/>
        <v>1</v>
      </c>
      <c r="J48" s="25">
        <f t="shared" si="30"/>
        <v>4.1700000000000001E-2</v>
      </c>
      <c r="K48" s="23">
        <f t="shared" si="31"/>
        <v>0</v>
      </c>
      <c r="L48" s="26">
        <f t="shared" si="40"/>
        <v>0</v>
      </c>
      <c r="N48" s="24">
        <f t="shared" si="6"/>
        <v>42370</v>
      </c>
      <c r="O48" s="24">
        <f t="shared" si="7"/>
        <v>42551</v>
      </c>
      <c r="P48" s="15">
        <f t="shared" si="32"/>
        <v>1</v>
      </c>
      <c r="Q48" s="25">
        <f t="shared" si="33"/>
        <v>0</v>
      </c>
      <c r="R48" s="23">
        <f t="shared" si="34"/>
        <v>0</v>
      </c>
      <c r="S48" s="26">
        <f t="shared" si="35"/>
        <v>0</v>
      </c>
      <c r="U48" s="24">
        <f t="shared" si="12"/>
        <v>42370</v>
      </c>
      <c r="V48" s="24">
        <f t="shared" si="13"/>
        <v>42551</v>
      </c>
      <c r="W48" s="15">
        <f t="shared" si="36"/>
        <v>1</v>
      </c>
      <c r="X48" s="25">
        <f t="shared" si="37"/>
        <v>0</v>
      </c>
      <c r="Y48" s="23">
        <f t="shared" si="38"/>
        <v>0</v>
      </c>
      <c r="Z48" s="26">
        <f t="shared" si="39"/>
        <v>0</v>
      </c>
    </row>
    <row r="49" spans="1:26" x14ac:dyDescent="0.2">
      <c r="A49" s="6">
        <v>42552</v>
      </c>
      <c r="B49" s="6">
        <v>42735</v>
      </c>
      <c r="C49" s="6"/>
      <c r="D49" s="706">
        <v>-8.8000000000000005E-3</v>
      </c>
      <c r="G49" s="24">
        <f t="shared" si="2"/>
        <v>42552</v>
      </c>
      <c r="H49" s="24">
        <f t="shared" si="3"/>
        <v>42735</v>
      </c>
      <c r="I49" s="15">
        <f t="shared" si="29"/>
        <v>1</v>
      </c>
      <c r="J49" s="25">
        <f t="shared" si="30"/>
        <v>4.1200000000000001E-2</v>
      </c>
      <c r="K49" s="23">
        <f t="shared" si="31"/>
        <v>0</v>
      </c>
      <c r="L49" s="26">
        <f t="shared" si="40"/>
        <v>0</v>
      </c>
      <c r="N49" s="24">
        <f t="shared" si="6"/>
        <v>42552</v>
      </c>
      <c r="O49" s="24">
        <f t="shared" si="7"/>
        <v>42735</v>
      </c>
      <c r="P49" s="15">
        <f t="shared" si="32"/>
        <v>1</v>
      </c>
      <c r="Q49" s="25">
        <f t="shared" si="33"/>
        <v>0</v>
      </c>
      <c r="R49" s="23">
        <f t="shared" si="34"/>
        <v>0</v>
      </c>
      <c r="S49" s="26">
        <f t="shared" si="35"/>
        <v>0</v>
      </c>
      <c r="U49" s="24">
        <f t="shared" si="12"/>
        <v>42552</v>
      </c>
      <c r="V49" s="24">
        <f t="shared" si="13"/>
        <v>42735</v>
      </c>
      <c r="W49" s="15">
        <f t="shared" si="36"/>
        <v>1</v>
      </c>
      <c r="X49" s="25">
        <f t="shared" si="37"/>
        <v>0</v>
      </c>
      <c r="Y49" s="23">
        <f t="shared" si="38"/>
        <v>0</v>
      </c>
      <c r="Z49" s="26">
        <f t="shared" si="39"/>
        <v>0</v>
      </c>
    </row>
    <row r="50" spans="1:26" x14ac:dyDescent="0.2">
      <c r="A50" s="6">
        <v>42736</v>
      </c>
      <c r="B50" s="753">
        <v>42916</v>
      </c>
      <c r="C50" s="6"/>
      <c r="D50" s="706">
        <v>-8.8000000000000005E-3</v>
      </c>
      <c r="G50" s="24">
        <f t="shared" si="2"/>
        <v>42736</v>
      </c>
      <c r="H50" s="24">
        <f t="shared" si="3"/>
        <v>42916</v>
      </c>
      <c r="I50" s="15">
        <f t="shared" si="29"/>
        <v>0</v>
      </c>
      <c r="J50" s="25">
        <f t="shared" si="30"/>
        <v>4.1200000000000001E-2</v>
      </c>
      <c r="K50" s="23">
        <f t="shared" si="31"/>
        <v>0</v>
      </c>
      <c r="L50" s="26">
        <f t="shared" si="40"/>
        <v>0</v>
      </c>
      <c r="N50" s="24">
        <f t="shared" si="6"/>
        <v>42736</v>
      </c>
      <c r="O50" s="24">
        <f t="shared" si="7"/>
        <v>42916</v>
      </c>
      <c r="P50" s="15">
        <f t="shared" si="32"/>
        <v>0</v>
      </c>
      <c r="Q50" s="25">
        <f t="shared" si="33"/>
        <v>0</v>
      </c>
      <c r="R50" s="23">
        <f t="shared" si="34"/>
        <v>0</v>
      </c>
      <c r="S50" s="26">
        <f t="shared" si="35"/>
        <v>0</v>
      </c>
      <c r="U50" s="24">
        <f t="shared" si="12"/>
        <v>42736</v>
      </c>
      <c r="V50" s="24">
        <f t="shared" si="13"/>
        <v>42916</v>
      </c>
      <c r="W50" s="15">
        <f t="shared" si="36"/>
        <v>0</v>
      </c>
      <c r="X50" s="25">
        <f t="shared" si="37"/>
        <v>0</v>
      </c>
      <c r="Y50" s="23">
        <f t="shared" si="38"/>
        <v>0</v>
      </c>
      <c r="Z50" s="26">
        <f t="shared" si="39"/>
        <v>0</v>
      </c>
    </row>
    <row r="51" spans="1:26" x14ac:dyDescent="0.2">
      <c r="A51" s="6">
        <v>42917</v>
      </c>
      <c r="B51" s="753">
        <v>43100</v>
      </c>
      <c r="C51" s="6"/>
      <c r="D51" s="706">
        <v>-8.8000000000000005E-3</v>
      </c>
      <c r="G51" s="24">
        <f t="shared" si="2"/>
        <v>42917</v>
      </c>
      <c r="H51" s="24">
        <f t="shared" si="3"/>
        <v>43100</v>
      </c>
      <c r="I51" s="15">
        <f t="shared" si="29"/>
        <v>0</v>
      </c>
      <c r="J51" s="25">
        <f t="shared" si="30"/>
        <v>4.1200000000000001E-2</v>
      </c>
      <c r="K51" s="23">
        <f t="shared" si="31"/>
        <v>0</v>
      </c>
      <c r="L51" s="26">
        <f t="shared" si="40"/>
        <v>0</v>
      </c>
      <c r="N51" s="24">
        <f t="shared" si="6"/>
        <v>42917</v>
      </c>
      <c r="O51" s="24">
        <f t="shared" si="7"/>
        <v>43100</v>
      </c>
      <c r="P51" s="15">
        <f t="shared" si="32"/>
        <v>0</v>
      </c>
      <c r="Q51" s="25">
        <f t="shared" si="33"/>
        <v>0</v>
      </c>
      <c r="R51" s="23">
        <f t="shared" si="34"/>
        <v>0</v>
      </c>
      <c r="S51" s="26">
        <f t="shared" si="35"/>
        <v>0</v>
      </c>
      <c r="U51" s="24">
        <f t="shared" si="12"/>
        <v>42917</v>
      </c>
      <c r="V51" s="24">
        <f t="shared" si="13"/>
        <v>43100</v>
      </c>
      <c r="W51" s="15">
        <f t="shared" si="36"/>
        <v>0</v>
      </c>
      <c r="X51" s="25">
        <f t="shared" si="37"/>
        <v>0</v>
      </c>
      <c r="Y51" s="23">
        <f t="shared" si="38"/>
        <v>0</v>
      </c>
      <c r="Z51" s="26">
        <f t="shared" si="39"/>
        <v>0</v>
      </c>
    </row>
    <row r="52" spans="1:26" x14ac:dyDescent="0.2">
      <c r="A52" s="6">
        <v>43101</v>
      </c>
      <c r="B52" s="753">
        <v>43281</v>
      </c>
      <c r="C52" s="6"/>
      <c r="D52" s="706">
        <v>-8.8000000000000005E-3</v>
      </c>
      <c r="G52" s="24">
        <f t="shared" si="2"/>
        <v>43101</v>
      </c>
      <c r="H52" s="24">
        <f t="shared" si="3"/>
        <v>43281</v>
      </c>
      <c r="I52" s="15">
        <f t="shared" si="29"/>
        <v>0</v>
      </c>
      <c r="J52" s="25">
        <f t="shared" si="30"/>
        <v>4.1200000000000001E-2</v>
      </c>
      <c r="K52" s="23">
        <f t="shared" si="31"/>
        <v>0</v>
      </c>
      <c r="L52" s="26">
        <f t="shared" si="40"/>
        <v>0</v>
      </c>
      <c r="N52" s="24">
        <f t="shared" si="6"/>
        <v>43101</v>
      </c>
      <c r="O52" s="24">
        <f t="shared" si="7"/>
        <v>43281</v>
      </c>
      <c r="P52" s="15">
        <f t="shared" si="32"/>
        <v>0</v>
      </c>
      <c r="Q52" s="25">
        <f t="shared" si="33"/>
        <v>0</v>
      </c>
      <c r="R52" s="23">
        <f t="shared" si="34"/>
        <v>0</v>
      </c>
      <c r="S52" s="26">
        <f t="shared" si="35"/>
        <v>0</v>
      </c>
      <c r="U52" s="24">
        <f t="shared" si="12"/>
        <v>43101</v>
      </c>
      <c r="V52" s="24">
        <f t="shared" si="13"/>
        <v>43281</v>
      </c>
      <c r="W52" s="15">
        <f t="shared" si="36"/>
        <v>0</v>
      </c>
      <c r="X52" s="25">
        <f t="shared" si="37"/>
        <v>0</v>
      </c>
      <c r="Y52" s="23">
        <f t="shared" si="38"/>
        <v>0</v>
      </c>
      <c r="Z52" s="26">
        <f t="shared" si="39"/>
        <v>0</v>
      </c>
    </row>
    <row r="53" spans="1:26" x14ac:dyDescent="0.2">
      <c r="A53" s="6">
        <v>43282</v>
      </c>
      <c r="B53" s="753">
        <v>43465</v>
      </c>
      <c r="C53" s="6"/>
      <c r="D53" s="706">
        <v>-8.8000000000000005E-3</v>
      </c>
      <c r="G53" s="24">
        <f t="shared" si="2"/>
        <v>43282</v>
      </c>
      <c r="H53" s="24">
        <f t="shared" si="3"/>
        <v>43465</v>
      </c>
      <c r="I53" s="15">
        <f t="shared" si="29"/>
        <v>0</v>
      </c>
      <c r="J53" s="25">
        <f t="shared" si="30"/>
        <v>4.1200000000000001E-2</v>
      </c>
      <c r="K53" s="23">
        <f t="shared" si="31"/>
        <v>0</v>
      </c>
      <c r="L53" s="26">
        <f t="shared" si="40"/>
        <v>0</v>
      </c>
      <c r="N53" s="24">
        <f t="shared" si="6"/>
        <v>43282</v>
      </c>
      <c r="O53" s="24">
        <f t="shared" si="7"/>
        <v>43465</v>
      </c>
      <c r="P53" s="15">
        <f t="shared" si="32"/>
        <v>0</v>
      </c>
      <c r="Q53" s="25">
        <f t="shared" si="33"/>
        <v>0</v>
      </c>
      <c r="R53" s="23">
        <f t="shared" si="34"/>
        <v>0</v>
      </c>
      <c r="S53" s="26">
        <f t="shared" si="35"/>
        <v>0</v>
      </c>
      <c r="U53" s="24">
        <f t="shared" si="12"/>
        <v>43282</v>
      </c>
      <c r="V53" s="24">
        <f t="shared" si="13"/>
        <v>43465</v>
      </c>
      <c r="W53" s="15">
        <f t="shared" si="36"/>
        <v>0</v>
      </c>
      <c r="X53" s="25">
        <f t="shared" si="37"/>
        <v>0</v>
      </c>
      <c r="Y53" s="23">
        <f t="shared" si="38"/>
        <v>0</v>
      </c>
      <c r="Z53" s="26">
        <f t="shared" si="39"/>
        <v>0</v>
      </c>
    </row>
    <row r="54" spans="1:26" x14ac:dyDescent="0.2">
      <c r="A54" s="6">
        <v>43466</v>
      </c>
      <c r="B54" s="753">
        <v>43646</v>
      </c>
      <c r="C54" s="6"/>
      <c r="D54" s="706">
        <v>-8.8000000000000005E-3</v>
      </c>
      <c r="G54" s="24">
        <f t="shared" si="2"/>
        <v>43466</v>
      </c>
      <c r="H54" s="24">
        <f t="shared" si="3"/>
        <v>43646</v>
      </c>
      <c r="I54" s="15">
        <f t="shared" si="29"/>
        <v>0</v>
      </c>
      <c r="J54" s="25">
        <f t="shared" si="30"/>
        <v>4.1200000000000001E-2</v>
      </c>
      <c r="K54" s="23">
        <f t="shared" si="31"/>
        <v>0</v>
      </c>
      <c r="L54" s="26">
        <f t="shared" si="40"/>
        <v>0</v>
      </c>
      <c r="N54" s="24">
        <f t="shared" si="6"/>
        <v>43466</v>
      </c>
      <c r="O54" s="24">
        <f t="shared" si="7"/>
        <v>43646</v>
      </c>
      <c r="P54" s="15">
        <f t="shared" si="32"/>
        <v>0</v>
      </c>
      <c r="Q54" s="25">
        <f t="shared" si="33"/>
        <v>0</v>
      </c>
      <c r="R54" s="23">
        <f t="shared" si="34"/>
        <v>0</v>
      </c>
      <c r="S54" s="26">
        <f t="shared" si="35"/>
        <v>0</v>
      </c>
      <c r="U54" s="24">
        <f t="shared" si="12"/>
        <v>43466</v>
      </c>
      <c r="V54" s="24">
        <f t="shared" si="13"/>
        <v>43646</v>
      </c>
      <c r="W54" s="15">
        <f t="shared" ref="W54" si="41">IF(V54&lt;&gt;"",MOD(DATE(YEAR(V54),12,31)-DATE(YEAR(U54),1,1)+1,365),0)</f>
        <v>0</v>
      </c>
      <c r="X54" s="25">
        <f t="shared" ref="X54" si="42">IF(Y$3="nominal",X$3,IF(Y$3="-Punkte über Basiszinssatz",X$3+$D54,0))</f>
        <v>0</v>
      </c>
      <c r="Y54" s="23">
        <f t="shared" ref="Y54" si="43">MAX(MIN(V54,V$3)-MAX(U54,U$3)+1,0)</f>
        <v>0</v>
      </c>
      <c r="Z54" s="26">
        <f t="shared" ref="Z54" si="44">W$3*X54/(365+W54)*Y54</f>
        <v>0</v>
      </c>
    </row>
    <row r="55" spans="1:26" x14ac:dyDescent="0.2">
      <c r="A55" s="6">
        <v>43647</v>
      </c>
      <c r="B55" s="753">
        <v>43830</v>
      </c>
      <c r="C55" s="6"/>
      <c r="D55" s="706">
        <v>-8.8000000000000005E-3</v>
      </c>
      <c r="G55" s="24">
        <f t="shared" si="2"/>
        <v>43647</v>
      </c>
      <c r="H55" s="24">
        <f t="shared" si="3"/>
        <v>43830</v>
      </c>
      <c r="I55" s="15">
        <f t="shared" si="29"/>
        <v>0</v>
      </c>
      <c r="J55" s="25">
        <f t="shared" si="30"/>
        <v>4.1200000000000001E-2</v>
      </c>
      <c r="K55" s="23">
        <f t="shared" si="31"/>
        <v>0</v>
      </c>
      <c r="L55" s="26">
        <f t="shared" si="40"/>
        <v>0</v>
      </c>
      <c r="N55" s="24">
        <f t="shared" si="6"/>
        <v>43647</v>
      </c>
      <c r="O55" s="24">
        <f t="shared" si="7"/>
        <v>43830</v>
      </c>
      <c r="P55" s="15">
        <f t="shared" si="32"/>
        <v>0</v>
      </c>
      <c r="Q55" s="25">
        <f t="shared" si="33"/>
        <v>0</v>
      </c>
      <c r="R55" s="23">
        <f t="shared" si="34"/>
        <v>0</v>
      </c>
      <c r="S55" s="26">
        <f t="shared" si="35"/>
        <v>0</v>
      </c>
      <c r="U55" s="24">
        <f t="shared" si="12"/>
        <v>43647</v>
      </c>
      <c r="V55" s="24">
        <f t="shared" si="13"/>
        <v>43830</v>
      </c>
      <c r="W55" s="15">
        <f t="shared" ref="W55:W68" si="45">IF(V55&lt;&gt;"",MOD(DATE(YEAR(V55),12,31)-DATE(YEAR(U55),1,1)+1,365),0)</f>
        <v>0</v>
      </c>
      <c r="X55" s="25">
        <f t="shared" ref="X55:X68" si="46">IF(Y$3="nominal",X$3,IF(Y$3="-Punkte über Basiszinssatz",X$3+$D55,0))</f>
        <v>0</v>
      </c>
      <c r="Y55" s="23">
        <f t="shared" ref="Y55:Y68" si="47">MAX(MIN(V55,V$3)-MAX(U55,U$3)+1,0)</f>
        <v>0</v>
      </c>
      <c r="Z55" s="26">
        <f t="shared" ref="Z55:Z68" si="48">W$3*X55/(365+W55)*Y55</f>
        <v>0</v>
      </c>
    </row>
    <row r="56" spans="1:26" x14ac:dyDescent="0.2">
      <c r="A56" s="6">
        <v>43831</v>
      </c>
      <c r="B56" s="753">
        <v>44012</v>
      </c>
      <c r="C56" s="6"/>
      <c r="D56" s="706">
        <v>-8.8000000000000005E-3</v>
      </c>
      <c r="G56" s="24">
        <f t="shared" si="2"/>
        <v>43831</v>
      </c>
      <c r="H56" s="24">
        <f t="shared" si="3"/>
        <v>44012</v>
      </c>
      <c r="I56" s="15">
        <f t="shared" si="29"/>
        <v>1</v>
      </c>
      <c r="J56" s="25">
        <f t="shared" si="30"/>
        <v>4.1200000000000001E-2</v>
      </c>
      <c r="K56" s="23">
        <f t="shared" si="31"/>
        <v>0</v>
      </c>
      <c r="L56" s="26">
        <f t="shared" si="40"/>
        <v>0</v>
      </c>
      <c r="N56" s="24">
        <f t="shared" si="6"/>
        <v>43831</v>
      </c>
      <c r="O56" s="24">
        <f t="shared" si="7"/>
        <v>44012</v>
      </c>
      <c r="P56" s="15">
        <f t="shared" si="32"/>
        <v>1</v>
      </c>
      <c r="Q56" s="25">
        <f t="shared" si="33"/>
        <v>0</v>
      </c>
      <c r="R56" s="23">
        <f t="shared" si="34"/>
        <v>0</v>
      </c>
      <c r="S56" s="26">
        <f t="shared" si="35"/>
        <v>0</v>
      </c>
      <c r="U56" s="24">
        <f t="shared" si="12"/>
        <v>43831</v>
      </c>
      <c r="V56" s="24">
        <f t="shared" si="13"/>
        <v>44012</v>
      </c>
      <c r="W56" s="15">
        <f t="shared" si="45"/>
        <v>1</v>
      </c>
      <c r="X56" s="25">
        <f t="shared" si="46"/>
        <v>0</v>
      </c>
      <c r="Y56" s="23">
        <f t="shared" si="47"/>
        <v>0</v>
      </c>
      <c r="Z56" s="26">
        <f t="shared" si="48"/>
        <v>0</v>
      </c>
    </row>
    <row r="57" spans="1:26" x14ac:dyDescent="0.2">
      <c r="A57" s="6">
        <v>44013</v>
      </c>
      <c r="B57" s="753">
        <v>44196</v>
      </c>
      <c r="C57" s="6"/>
      <c r="D57" s="706">
        <v>-8.8000000000000005E-3</v>
      </c>
      <c r="G57" s="24">
        <f t="shared" si="2"/>
        <v>44013</v>
      </c>
      <c r="H57" s="24">
        <f t="shared" si="3"/>
        <v>44196</v>
      </c>
      <c r="I57" s="15">
        <f t="shared" si="29"/>
        <v>1</v>
      </c>
      <c r="J57" s="25">
        <f t="shared" si="30"/>
        <v>4.1200000000000001E-2</v>
      </c>
      <c r="K57" s="23">
        <f t="shared" si="31"/>
        <v>0</v>
      </c>
      <c r="L57" s="26">
        <f t="shared" si="40"/>
        <v>0</v>
      </c>
      <c r="N57" s="24">
        <f t="shared" si="6"/>
        <v>44013</v>
      </c>
      <c r="O57" s="24">
        <f t="shared" si="7"/>
        <v>44196</v>
      </c>
      <c r="P57" s="15">
        <f t="shared" si="32"/>
        <v>1</v>
      </c>
      <c r="Q57" s="25">
        <f t="shared" si="33"/>
        <v>0</v>
      </c>
      <c r="R57" s="23">
        <f t="shared" si="34"/>
        <v>0</v>
      </c>
      <c r="S57" s="26">
        <f t="shared" si="35"/>
        <v>0</v>
      </c>
      <c r="U57" s="24">
        <f t="shared" si="12"/>
        <v>44013</v>
      </c>
      <c r="V57" s="24">
        <f t="shared" si="13"/>
        <v>44196</v>
      </c>
      <c r="W57" s="15">
        <f t="shared" si="45"/>
        <v>1</v>
      </c>
      <c r="X57" s="25">
        <f t="shared" si="46"/>
        <v>0</v>
      </c>
      <c r="Y57" s="23">
        <f t="shared" si="47"/>
        <v>0</v>
      </c>
      <c r="Z57" s="26">
        <f t="shared" si="48"/>
        <v>0</v>
      </c>
    </row>
    <row r="58" spans="1:26" x14ac:dyDescent="0.2">
      <c r="A58" s="6">
        <v>44197</v>
      </c>
      <c r="B58" s="753">
        <v>44377</v>
      </c>
      <c r="C58" s="6"/>
      <c r="D58" s="706">
        <v>-8.8000000000000005E-3</v>
      </c>
      <c r="G58" s="24">
        <f t="shared" si="2"/>
        <v>44197</v>
      </c>
      <c r="H58" s="24">
        <f t="shared" si="3"/>
        <v>44377</v>
      </c>
      <c r="I58" s="15">
        <f t="shared" si="29"/>
        <v>0</v>
      </c>
      <c r="J58" s="25">
        <f t="shared" si="30"/>
        <v>4.1200000000000001E-2</v>
      </c>
      <c r="K58" s="23">
        <f t="shared" si="31"/>
        <v>0</v>
      </c>
      <c r="L58" s="26">
        <f t="shared" si="40"/>
        <v>0</v>
      </c>
      <c r="N58" s="24">
        <f t="shared" si="6"/>
        <v>44197</v>
      </c>
      <c r="O58" s="24">
        <f t="shared" si="7"/>
        <v>44377</v>
      </c>
      <c r="P58" s="15">
        <f t="shared" si="32"/>
        <v>0</v>
      </c>
      <c r="Q58" s="25">
        <f t="shared" si="33"/>
        <v>0</v>
      </c>
      <c r="R58" s="23">
        <f t="shared" si="34"/>
        <v>0</v>
      </c>
      <c r="S58" s="26">
        <f t="shared" si="35"/>
        <v>0</v>
      </c>
      <c r="U58" s="24">
        <f t="shared" si="12"/>
        <v>44197</v>
      </c>
      <c r="V58" s="24">
        <f t="shared" si="13"/>
        <v>44377</v>
      </c>
      <c r="W58" s="15">
        <f t="shared" si="45"/>
        <v>0</v>
      </c>
      <c r="X58" s="25">
        <f t="shared" si="46"/>
        <v>0</v>
      </c>
      <c r="Y58" s="23">
        <f t="shared" si="47"/>
        <v>0</v>
      </c>
      <c r="Z58" s="26">
        <f t="shared" si="48"/>
        <v>0</v>
      </c>
    </row>
    <row r="59" spans="1:26" x14ac:dyDescent="0.2">
      <c r="A59" s="6">
        <v>44378</v>
      </c>
      <c r="B59" s="753">
        <v>44561</v>
      </c>
      <c r="C59" s="6"/>
      <c r="D59" s="706">
        <v>-8.8000000000000005E-3</v>
      </c>
      <c r="G59" s="24">
        <f t="shared" si="2"/>
        <v>44378</v>
      </c>
      <c r="H59" s="24">
        <f t="shared" si="3"/>
        <v>44561</v>
      </c>
      <c r="I59" s="15">
        <f t="shared" si="29"/>
        <v>0</v>
      </c>
      <c r="J59" s="25">
        <f t="shared" si="30"/>
        <v>4.1200000000000001E-2</v>
      </c>
      <c r="K59" s="23">
        <f t="shared" si="31"/>
        <v>0</v>
      </c>
      <c r="L59" s="26">
        <f t="shared" si="40"/>
        <v>0</v>
      </c>
      <c r="N59" s="24">
        <f t="shared" si="6"/>
        <v>44378</v>
      </c>
      <c r="O59" s="24">
        <f t="shared" si="7"/>
        <v>44561</v>
      </c>
      <c r="P59" s="15">
        <f t="shared" si="32"/>
        <v>0</v>
      </c>
      <c r="Q59" s="25">
        <f t="shared" si="33"/>
        <v>0</v>
      </c>
      <c r="R59" s="23">
        <f t="shared" si="34"/>
        <v>0</v>
      </c>
      <c r="S59" s="26">
        <f t="shared" si="35"/>
        <v>0</v>
      </c>
      <c r="U59" s="24">
        <f t="shared" si="12"/>
        <v>44378</v>
      </c>
      <c r="V59" s="24">
        <f t="shared" si="13"/>
        <v>44561</v>
      </c>
      <c r="W59" s="15">
        <f t="shared" si="45"/>
        <v>0</v>
      </c>
      <c r="X59" s="25">
        <f t="shared" si="46"/>
        <v>0</v>
      </c>
      <c r="Y59" s="23">
        <f t="shared" si="47"/>
        <v>0</v>
      </c>
      <c r="Z59" s="26">
        <f t="shared" si="48"/>
        <v>0</v>
      </c>
    </row>
    <row r="60" spans="1:26" x14ac:dyDescent="0.2">
      <c r="A60" s="6">
        <v>44562</v>
      </c>
      <c r="B60" s="753">
        <v>44742</v>
      </c>
      <c r="C60" s="6"/>
      <c r="D60" s="706">
        <v>-8.8000000000000005E-3</v>
      </c>
      <c r="G60" s="24">
        <f t="shared" si="2"/>
        <v>44562</v>
      </c>
      <c r="H60" s="24">
        <f t="shared" si="3"/>
        <v>44742</v>
      </c>
      <c r="I60" s="15">
        <f t="shared" si="29"/>
        <v>0</v>
      </c>
      <c r="J60" s="25">
        <f t="shared" si="30"/>
        <v>4.1200000000000001E-2</v>
      </c>
      <c r="K60" s="23">
        <f t="shared" si="31"/>
        <v>0</v>
      </c>
      <c r="L60" s="26">
        <f t="shared" si="40"/>
        <v>0</v>
      </c>
      <c r="N60" s="24">
        <f t="shared" si="6"/>
        <v>44562</v>
      </c>
      <c r="O60" s="24">
        <f t="shared" si="7"/>
        <v>44742</v>
      </c>
      <c r="P60" s="15">
        <f t="shared" si="32"/>
        <v>0</v>
      </c>
      <c r="Q60" s="25">
        <f t="shared" si="33"/>
        <v>0</v>
      </c>
      <c r="R60" s="23">
        <f t="shared" si="34"/>
        <v>0</v>
      </c>
      <c r="S60" s="26">
        <f t="shared" si="35"/>
        <v>0</v>
      </c>
      <c r="U60" s="24">
        <f t="shared" si="12"/>
        <v>44562</v>
      </c>
      <c r="V60" s="24">
        <f t="shared" si="13"/>
        <v>44742</v>
      </c>
      <c r="W60" s="15">
        <f t="shared" si="45"/>
        <v>0</v>
      </c>
      <c r="X60" s="25">
        <f t="shared" si="46"/>
        <v>0</v>
      </c>
      <c r="Y60" s="23">
        <f t="shared" si="47"/>
        <v>0</v>
      </c>
      <c r="Z60" s="26">
        <f t="shared" si="48"/>
        <v>0</v>
      </c>
    </row>
    <row r="61" spans="1:26" x14ac:dyDescent="0.2">
      <c r="A61" s="6">
        <v>44743</v>
      </c>
      <c r="B61" s="753">
        <v>44926</v>
      </c>
      <c r="C61" s="6"/>
      <c r="D61" s="706">
        <v>-8.8000000000000005E-3</v>
      </c>
      <c r="G61" s="24">
        <f t="shared" si="2"/>
        <v>44743</v>
      </c>
      <c r="H61" s="24">
        <f t="shared" si="3"/>
        <v>44926</v>
      </c>
      <c r="I61" s="15">
        <f t="shared" si="29"/>
        <v>0</v>
      </c>
      <c r="J61" s="25">
        <f t="shared" si="30"/>
        <v>4.1200000000000001E-2</v>
      </c>
      <c r="K61" s="23">
        <f t="shared" si="31"/>
        <v>0</v>
      </c>
      <c r="L61" s="26">
        <f t="shared" si="40"/>
        <v>0</v>
      </c>
      <c r="N61" s="24">
        <f t="shared" si="6"/>
        <v>44743</v>
      </c>
      <c r="O61" s="24">
        <f t="shared" si="7"/>
        <v>44926</v>
      </c>
      <c r="P61" s="15">
        <f t="shared" si="32"/>
        <v>0</v>
      </c>
      <c r="Q61" s="25">
        <f t="shared" si="33"/>
        <v>0</v>
      </c>
      <c r="R61" s="23">
        <f t="shared" si="34"/>
        <v>0</v>
      </c>
      <c r="S61" s="26">
        <f t="shared" si="35"/>
        <v>0</v>
      </c>
      <c r="U61" s="24">
        <f t="shared" si="12"/>
        <v>44743</v>
      </c>
      <c r="V61" s="24">
        <f t="shared" si="13"/>
        <v>44926</v>
      </c>
      <c r="W61" s="15">
        <f t="shared" si="45"/>
        <v>0</v>
      </c>
      <c r="X61" s="25">
        <f t="shared" si="46"/>
        <v>0</v>
      </c>
      <c r="Y61" s="23">
        <f t="shared" si="47"/>
        <v>0</v>
      </c>
      <c r="Z61" s="26">
        <f t="shared" si="48"/>
        <v>0</v>
      </c>
    </row>
    <row r="62" spans="1:26" x14ac:dyDescent="0.2">
      <c r="A62" s="6">
        <v>44927</v>
      </c>
      <c r="B62" s="753">
        <v>45107</v>
      </c>
      <c r="C62" s="6"/>
      <c r="D62" s="706">
        <v>1.6199999999999999E-2</v>
      </c>
      <c r="G62" s="24">
        <f t="shared" si="2"/>
        <v>44927</v>
      </c>
      <c r="H62" s="24">
        <f t="shared" si="3"/>
        <v>45107</v>
      </c>
      <c r="I62" s="15">
        <f t="shared" si="29"/>
        <v>0</v>
      </c>
      <c r="J62" s="25">
        <f t="shared" si="30"/>
        <v>6.6200000000000009E-2</v>
      </c>
      <c r="K62" s="23">
        <f t="shared" si="31"/>
        <v>0</v>
      </c>
      <c r="L62" s="26">
        <f t="shared" si="40"/>
        <v>0</v>
      </c>
      <c r="N62" s="24">
        <f t="shared" si="6"/>
        <v>44927</v>
      </c>
      <c r="O62" s="24">
        <f t="shared" si="7"/>
        <v>45107</v>
      </c>
      <c r="P62" s="15">
        <f t="shared" si="32"/>
        <v>0</v>
      </c>
      <c r="Q62" s="25">
        <f t="shared" si="33"/>
        <v>0</v>
      </c>
      <c r="R62" s="23">
        <f t="shared" si="34"/>
        <v>0</v>
      </c>
      <c r="S62" s="26">
        <f t="shared" si="35"/>
        <v>0</v>
      </c>
      <c r="U62" s="24">
        <f t="shared" si="12"/>
        <v>44927</v>
      </c>
      <c r="V62" s="24">
        <f t="shared" si="13"/>
        <v>45107</v>
      </c>
      <c r="W62" s="15">
        <f t="shared" si="45"/>
        <v>0</v>
      </c>
      <c r="X62" s="25">
        <f t="shared" si="46"/>
        <v>0</v>
      </c>
      <c r="Y62" s="23">
        <f t="shared" si="47"/>
        <v>0</v>
      </c>
      <c r="Z62" s="26">
        <f t="shared" si="48"/>
        <v>0</v>
      </c>
    </row>
    <row r="63" spans="1:26" x14ac:dyDescent="0.2">
      <c r="A63" s="6">
        <v>45108</v>
      </c>
      <c r="B63" s="753">
        <v>45291</v>
      </c>
      <c r="C63" s="6"/>
      <c r="D63" s="706">
        <v>3.1199999999999999E-2</v>
      </c>
      <c r="G63" s="24">
        <f t="shared" si="2"/>
        <v>45108</v>
      </c>
      <c r="H63" s="24">
        <f t="shared" si="3"/>
        <v>45291</v>
      </c>
      <c r="I63" s="15">
        <f t="shared" si="29"/>
        <v>0</v>
      </c>
      <c r="J63" s="25">
        <f t="shared" si="30"/>
        <v>8.1199999999999994E-2</v>
      </c>
      <c r="K63" s="23">
        <f t="shared" si="31"/>
        <v>0</v>
      </c>
      <c r="L63" s="26">
        <f t="shared" si="40"/>
        <v>0</v>
      </c>
      <c r="N63" s="24">
        <f t="shared" si="6"/>
        <v>45108</v>
      </c>
      <c r="O63" s="24">
        <f t="shared" si="7"/>
        <v>45291</v>
      </c>
      <c r="P63" s="15">
        <f t="shared" si="32"/>
        <v>0</v>
      </c>
      <c r="Q63" s="25">
        <f t="shared" si="33"/>
        <v>0</v>
      </c>
      <c r="R63" s="23">
        <f t="shared" si="34"/>
        <v>0</v>
      </c>
      <c r="S63" s="26">
        <f t="shared" si="35"/>
        <v>0</v>
      </c>
      <c r="U63" s="24">
        <f t="shared" si="12"/>
        <v>45108</v>
      </c>
      <c r="V63" s="24">
        <f t="shared" si="13"/>
        <v>45291</v>
      </c>
      <c r="W63" s="15">
        <f t="shared" si="45"/>
        <v>0</v>
      </c>
      <c r="X63" s="25">
        <f t="shared" si="46"/>
        <v>0</v>
      </c>
      <c r="Y63" s="23">
        <f t="shared" si="47"/>
        <v>0</v>
      </c>
      <c r="Z63" s="26">
        <f t="shared" si="48"/>
        <v>0</v>
      </c>
    </row>
    <row r="64" spans="1:26" x14ac:dyDescent="0.2">
      <c r="A64" s="6">
        <v>45292</v>
      </c>
      <c r="B64" s="753">
        <v>45473</v>
      </c>
      <c r="C64" s="6"/>
      <c r="D64" s="706">
        <v>3.6200000000000003E-2</v>
      </c>
      <c r="G64" s="24">
        <f t="shared" si="2"/>
        <v>45292</v>
      </c>
      <c r="H64" s="24">
        <f t="shared" si="3"/>
        <v>45473</v>
      </c>
      <c r="I64" s="15">
        <f t="shared" si="29"/>
        <v>1</v>
      </c>
      <c r="J64" s="25">
        <f t="shared" si="30"/>
        <v>8.6199999999999999E-2</v>
      </c>
      <c r="K64" s="23">
        <f t="shared" si="31"/>
        <v>0</v>
      </c>
      <c r="L64" s="26">
        <f t="shared" si="40"/>
        <v>0</v>
      </c>
      <c r="N64" s="24">
        <f t="shared" si="6"/>
        <v>45292</v>
      </c>
      <c r="O64" s="24">
        <f t="shared" si="7"/>
        <v>45473</v>
      </c>
      <c r="P64" s="15">
        <f t="shared" si="32"/>
        <v>1</v>
      </c>
      <c r="Q64" s="25">
        <f t="shared" si="33"/>
        <v>0</v>
      </c>
      <c r="R64" s="23">
        <f t="shared" si="34"/>
        <v>0</v>
      </c>
      <c r="S64" s="26">
        <f t="shared" si="35"/>
        <v>0</v>
      </c>
      <c r="U64" s="24">
        <f t="shared" si="12"/>
        <v>45292</v>
      </c>
      <c r="V64" s="24">
        <f t="shared" si="13"/>
        <v>45473</v>
      </c>
      <c r="W64" s="15">
        <f t="shared" si="45"/>
        <v>1</v>
      </c>
      <c r="X64" s="25">
        <f t="shared" si="46"/>
        <v>0</v>
      </c>
      <c r="Y64" s="23">
        <f t="shared" si="47"/>
        <v>0</v>
      </c>
      <c r="Z64" s="26">
        <f t="shared" si="48"/>
        <v>0</v>
      </c>
    </row>
    <row r="65" spans="1:26" x14ac:dyDescent="0.2">
      <c r="A65" s="6">
        <v>45474</v>
      </c>
      <c r="B65" s="753">
        <v>45657</v>
      </c>
      <c r="C65" s="6"/>
      <c r="D65" s="706">
        <v>3.3700000000000001E-2</v>
      </c>
      <c r="G65" s="24">
        <f t="shared" si="2"/>
        <v>45474</v>
      </c>
      <c r="H65" s="24">
        <f t="shared" si="3"/>
        <v>45657</v>
      </c>
      <c r="I65" s="15">
        <f t="shared" si="29"/>
        <v>1</v>
      </c>
      <c r="J65" s="25">
        <f t="shared" si="30"/>
        <v>8.3699999999999997E-2</v>
      </c>
      <c r="K65" s="23">
        <f t="shared" si="31"/>
        <v>0</v>
      </c>
      <c r="L65" s="26">
        <f t="shared" si="40"/>
        <v>0</v>
      </c>
      <c r="N65" s="24">
        <f t="shared" si="6"/>
        <v>45474</v>
      </c>
      <c r="O65" s="24">
        <f t="shared" si="7"/>
        <v>45657</v>
      </c>
      <c r="P65" s="15">
        <f t="shared" si="32"/>
        <v>1</v>
      </c>
      <c r="Q65" s="25">
        <f t="shared" si="33"/>
        <v>0</v>
      </c>
      <c r="R65" s="23">
        <f t="shared" si="34"/>
        <v>0</v>
      </c>
      <c r="S65" s="26">
        <f t="shared" si="35"/>
        <v>0</v>
      </c>
      <c r="U65" s="24">
        <f t="shared" si="12"/>
        <v>45474</v>
      </c>
      <c r="V65" s="24">
        <f t="shared" si="13"/>
        <v>45657</v>
      </c>
      <c r="W65" s="15">
        <f t="shared" si="45"/>
        <v>1</v>
      </c>
      <c r="X65" s="25">
        <f t="shared" si="46"/>
        <v>0</v>
      </c>
      <c r="Y65" s="23">
        <f t="shared" si="47"/>
        <v>0</v>
      </c>
      <c r="Z65" s="26">
        <f t="shared" si="48"/>
        <v>0</v>
      </c>
    </row>
    <row r="66" spans="1:26" x14ac:dyDescent="0.2">
      <c r="A66" s="6">
        <v>45658</v>
      </c>
      <c r="B66" s="753">
        <v>45838</v>
      </c>
      <c r="C66" s="6"/>
      <c r="D66" s="706">
        <v>2.2700000000000001E-2</v>
      </c>
      <c r="G66" s="24">
        <f t="shared" si="2"/>
        <v>45658</v>
      </c>
      <c r="H66" s="24">
        <f t="shared" si="3"/>
        <v>45838</v>
      </c>
      <c r="I66" s="15">
        <f t="shared" si="29"/>
        <v>0</v>
      </c>
      <c r="J66" s="25">
        <f t="shared" si="30"/>
        <v>7.2700000000000001E-2</v>
      </c>
      <c r="K66" s="23">
        <f t="shared" si="31"/>
        <v>0</v>
      </c>
      <c r="L66" s="26">
        <f t="shared" si="40"/>
        <v>0</v>
      </c>
      <c r="N66" s="24">
        <f t="shared" si="6"/>
        <v>45658</v>
      </c>
      <c r="O66" s="24">
        <f t="shared" si="7"/>
        <v>45838</v>
      </c>
      <c r="P66" s="15">
        <f t="shared" si="32"/>
        <v>0</v>
      </c>
      <c r="Q66" s="25">
        <f t="shared" si="33"/>
        <v>0</v>
      </c>
      <c r="R66" s="23">
        <f t="shared" si="34"/>
        <v>0</v>
      </c>
      <c r="S66" s="26">
        <f t="shared" si="35"/>
        <v>0</v>
      </c>
      <c r="U66" s="24">
        <f t="shared" si="12"/>
        <v>45658</v>
      </c>
      <c r="V66" s="24">
        <f t="shared" si="13"/>
        <v>45838</v>
      </c>
      <c r="W66" s="15">
        <f t="shared" si="45"/>
        <v>0</v>
      </c>
      <c r="X66" s="25">
        <f t="shared" si="46"/>
        <v>0</v>
      </c>
      <c r="Y66" s="23">
        <f t="shared" si="47"/>
        <v>0</v>
      </c>
      <c r="Z66" s="26">
        <f t="shared" si="48"/>
        <v>0</v>
      </c>
    </row>
    <row r="67" spans="1:26" x14ac:dyDescent="0.2">
      <c r="A67" s="6">
        <v>45839</v>
      </c>
      <c r="B67" s="753">
        <v>46022</v>
      </c>
      <c r="C67" s="6"/>
      <c r="D67" s="706">
        <v>1.2699999999999999E-2</v>
      </c>
      <c r="G67" s="24">
        <f t="shared" si="2"/>
        <v>45839</v>
      </c>
      <c r="H67" s="24">
        <f t="shared" si="3"/>
        <v>46022</v>
      </c>
      <c r="I67" s="15">
        <f t="shared" si="29"/>
        <v>0</v>
      </c>
      <c r="J67" s="25">
        <f t="shared" si="30"/>
        <v>6.2700000000000006E-2</v>
      </c>
      <c r="K67" s="23">
        <f t="shared" si="31"/>
        <v>0</v>
      </c>
      <c r="L67" s="26">
        <f t="shared" si="40"/>
        <v>0</v>
      </c>
      <c r="N67" s="24">
        <f t="shared" si="6"/>
        <v>45839</v>
      </c>
      <c r="O67" s="24">
        <f t="shared" si="7"/>
        <v>46022</v>
      </c>
      <c r="P67" s="15">
        <f t="shared" si="32"/>
        <v>0</v>
      </c>
      <c r="Q67" s="25">
        <f t="shared" si="33"/>
        <v>0</v>
      </c>
      <c r="R67" s="23">
        <f t="shared" si="34"/>
        <v>0</v>
      </c>
      <c r="S67" s="26">
        <f t="shared" si="35"/>
        <v>0</v>
      </c>
      <c r="U67" s="24">
        <f t="shared" si="12"/>
        <v>45839</v>
      </c>
      <c r="V67" s="24">
        <f t="shared" si="13"/>
        <v>46022</v>
      </c>
      <c r="W67" s="15">
        <f t="shared" si="45"/>
        <v>0</v>
      </c>
      <c r="X67" s="25">
        <f t="shared" si="46"/>
        <v>0</v>
      </c>
      <c r="Y67" s="23">
        <f t="shared" si="47"/>
        <v>0</v>
      </c>
      <c r="Z67" s="26">
        <f t="shared" si="48"/>
        <v>0</v>
      </c>
    </row>
    <row r="68" spans="1:26" x14ac:dyDescent="0.2">
      <c r="A68" s="6">
        <v>46023</v>
      </c>
      <c r="B68" s="753">
        <v>46203</v>
      </c>
      <c r="C68" s="6"/>
      <c r="D68" s="706">
        <v>1.2699999999999999E-2</v>
      </c>
      <c r="G68" s="24">
        <f t="shared" si="2"/>
        <v>46023</v>
      </c>
      <c r="H68" s="24">
        <f t="shared" si="3"/>
        <v>46203</v>
      </c>
      <c r="I68" s="15">
        <f t="shared" si="29"/>
        <v>0</v>
      </c>
      <c r="J68" s="25">
        <f t="shared" si="30"/>
        <v>6.2700000000000006E-2</v>
      </c>
      <c r="K68" s="23">
        <f t="shared" si="31"/>
        <v>0</v>
      </c>
      <c r="L68" s="26">
        <f t="shared" si="40"/>
        <v>0</v>
      </c>
      <c r="N68" s="24">
        <f t="shared" si="6"/>
        <v>46023</v>
      </c>
      <c r="O68" s="24">
        <f t="shared" si="7"/>
        <v>46203</v>
      </c>
      <c r="P68" s="15">
        <f t="shared" si="32"/>
        <v>0</v>
      </c>
      <c r="Q68" s="25">
        <f t="shared" si="33"/>
        <v>0</v>
      </c>
      <c r="R68" s="23">
        <f t="shared" si="34"/>
        <v>0</v>
      </c>
      <c r="S68" s="26">
        <f t="shared" si="35"/>
        <v>0</v>
      </c>
      <c r="U68" s="24">
        <f t="shared" si="12"/>
        <v>46023</v>
      </c>
      <c r="V68" s="24">
        <f t="shared" si="13"/>
        <v>46203</v>
      </c>
      <c r="W68" s="15">
        <f t="shared" si="45"/>
        <v>0</v>
      </c>
      <c r="X68" s="25">
        <f t="shared" si="46"/>
        <v>0</v>
      </c>
      <c r="Y68" s="23">
        <f t="shared" si="47"/>
        <v>0</v>
      </c>
      <c r="Z68" s="26">
        <f t="shared" si="48"/>
        <v>0</v>
      </c>
    </row>
    <row r="69" spans="1:26" x14ac:dyDescent="0.2">
      <c r="A69" s="6">
        <v>46204</v>
      </c>
      <c r="B69" s="753">
        <v>46752</v>
      </c>
      <c r="C69" s="6" t="s">
        <v>587</v>
      </c>
      <c r="D69" s="706">
        <v>1.52E-2</v>
      </c>
      <c r="G69" s="24">
        <f t="shared" si="2"/>
        <v>46204</v>
      </c>
      <c r="H69" s="24">
        <f t="shared" si="3"/>
        <v>46752</v>
      </c>
      <c r="I69" s="15">
        <f t="shared" si="0"/>
        <v>0</v>
      </c>
      <c r="J69" s="25">
        <f t="shared" si="1"/>
        <v>6.5200000000000008E-2</v>
      </c>
      <c r="K69" s="23">
        <f t="shared" si="4"/>
        <v>0</v>
      </c>
      <c r="L69" s="26">
        <f t="shared" si="5"/>
        <v>0</v>
      </c>
      <c r="N69" s="24">
        <f t="shared" si="6"/>
        <v>46204</v>
      </c>
      <c r="O69" s="24">
        <f t="shared" si="7"/>
        <v>46752</v>
      </c>
      <c r="P69" s="15">
        <f t="shared" si="8"/>
        <v>0</v>
      </c>
      <c r="Q69" s="25">
        <f t="shared" si="9"/>
        <v>0</v>
      </c>
      <c r="R69" s="23">
        <f t="shared" si="10"/>
        <v>0</v>
      </c>
      <c r="S69" s="26">
        <f t="shared" si="11"/>
        <v>0</v>
      </c>
      <c r="U69" s="24">
        <f t="shared" si="12"/>
        <v>46204</v>
      </c>
      <c r="V69" s="24">
        <f t="shared" si="13"/>
        <v>46752</v>
      </c>
      <c r="W69" s="15">
        <f t="shared" si="14"/>
        <v>0</v>
      </c>
      <c r="X69" s="25">
        <f t="shared" si="15"/>
        <v>0</v>
      </c>
      <c r="Y69" s="23">
        <f t="shared" si="16"/>
        <v>0</v>
      </c>
      <c r="Z69" s="26">
        <f t="shared" si="17"/>
        <v>0</v>
      </c>
    </row>
    <row r="70" spans="1:26" x14ac:dyDescent="0.2">
      <c r="A70" s="24">
        <f>B69+1</f>
        <v>46753</v>
      </c>
      <c r="B70" s="24">
        <f>DATE(YEAR(A70),12,31)</f>
        <v>47118</v>
      </c>
      <c r="C70" s="6"/>
      <c r="D70" s="9">
        <f>D69</f>
        <v>1.52E-2</v>
      </c>
      <c r="G70" s="24">
        <f t="shared" si="2"/>
        <v>46753</v>
      </c>
      <c r="H70" s="24">
        <f t="shared" si="3"/>
        <v>47118</v>
      </c>
      <c r="I70" s="15">
        <f t="shared" si="0"/>
        <v>1</v>
      </c>
      <c r="J70" s="25">
        <f t="shared" si="1"/>
        <v>6.5200000000000008E-2</v>
      </c>
      <c r="K70" s="23">
        <f t="shared" si="4"/>
        <v>0</v>
      </c>
      <c r="L70" s="26">
        <f t="shared" si="5"/>
        <v>0</v>
      </c>
      <c r="N70" s="24">
        <f t="shared" si="6"/>
        <v>46753</v>
      </c>
      <c r="O70" s="24">
        <f t="shared" si="7"/>
        <v>47118</v>
      </c>
      <c r="P70" s="15">
        <f t="shared" si="8"/>
        <v>1</v>
      </c>
      <c r="Q70" s="25">
        <f t="shared" si="9"/>
        <v>0</v>
      </c>
      <c r="R70" s="23">
        <f t="shared" si="10"/>
        <v>0</v>
      </c>
      <c r="S70" s="26">
        <f t="shared" si="11"/>
        <v>0</v>
      </c>
      <c r="U70" s="24">
        <f t="shared" si="12"/>
        <v>46753</v>
      </c>
      <c r="V70" s="24">
        <f t="shared" si="13"/>
        <v>47118</v>
      </c>
      <c r="W70" s="15">
        <f t="shared" si="14"/>
        <v>1</v>
      </c>
      <c r="X70" s="25">
        <f t="shared" si="15"/>
        <v>0</v>
      </c>
      <c r="Y70" s="23">
        <f t="shared" si="16"/>
        <v>0</v>
      </c>
      <c r="Z70" s="26">
        <f t="shared" si="17"/>
        <v>0</v>
      </c>
    </row>
    <row r="71" spans="1:26" x14ac:dyDescent="0.2">
      <c r="A71" s="24"/>
      <c r="B71" s="24"/>
      <c r="C71" s="6"/>
      <c r="D71" s="9">
        <f>D70</f>
        <v>1.52E-2</v>
      </c>
      <c r="F71" s="2" t="s">
        <v>334</v>
      </c>
      <c r="G71" s="27" t="str">
        <f>IF(AND(YEAR(H$3)&gt;YEAR(H$70),YEAR(G$3)&gt;YEAR(H$70)),DATE(YEAR(G$3),1,1),"")</f>
        <v/>
      </c>
      <c r="H71" s="27" t="str">
        <f>IF(G71&lt;&gt;"",MIN(H$3,DATE(YEAR(G$3),12,31)),"")</f>
        <v/>
      </c>
      <c r="I71" s="15">
        <f>IF(H71&lt;&gt;"",MOD(DATE(YEAR(H71),12,31)-DATE(YEAR(G71),1,1)+1,365),0)</f>
        <v>0</v>
      </c>
      <c r="J71" s="25">
        <f>IF(K$3="nominal",J$3,IF(K$3="-Punkte über Basiszinssatz",J$3+$D71,0))</f>
        <v>6.5200000000000008E-2</v>
      </c>
      <c r="K71" s="23">
        <f>IF(G71&lt;&gt;"",MAX(MIN(H71,H$3)-MAX(G71,G$3)+1,0),0)</f>
        <v>0</v>
      </c>
      <c r="L71" s="26">
        <f>I$3*J71/(365+I71)*K71</f>
        <v>0</v>
      </c>
      <c r="N71" s="27" t="str">
        <f>IF(AND(YEAR(O$3)&gt;YEAR(O$70),YEAR(N$3)&gt;YEAR(O$70)),DATE(YEAR(N$3),1,1),"")</f>
        <v/>
      </c>
      <c r="O71" s="27" t="str">
        <f>IF(N71&lt;&gt;"",MIN(O$3,DATE(YEAR(N$3),12,31)),"")</f>
        <v/>
      </c>
      <c r="P71" s="15">
        <f t="shared" si="8"/>
        <v>0</v>
      </c>
      <c r="Q71" s="25">
        <f t="shared" si="9"/>
        <v>0</v>
      </c>
      <c r="R71" s="23">
        <f>IF(N71&lt;&gt;"",MAX(MIN(O71,O$3)-MAX(N71,N$3)+1,0),0)</f>
        <v>0</v>
      </c>
      <c r="S71" s="26">
        <f t="shared" si="11"/>
        <v>0</v>
      </c>
      <c r="U71" s="27" t="str">
        <f>IF(AND(YEAR(V$3)&gt;YEAR(V$70),YEAR(U$3)&gt;YEAR(V$70)),DATE(YEAR(U$3),1,1),"")</f>
        <v/>
      </c>
      <c r="V71" s="27" t="str">
        <f>IF(U71&lt;&gt;"",MIN(V$3,DATE(YEAR(U$3),12,31)),"")</f>
        <v/>
      </c>
      <c r="W71" s="15">
        <f t="shared" si="14"/>
        <v>0</v>
      </c>
      <c r="X71" s="25">
        <f t="shared" si="15"/>
        <v>0</v>
      </c>
      <c r="Y71" s="23">
        <f>IF(U71&lt;&gt;"",MAX(MIN(V71,V$3)-MAX(U71,U$3)+1,0),0)</f>
        <v>0</v>
      </c>
      <c r="Z71" s="26">
        <f t="shared" si="17"/>
        <v>0</v>
      </c>
    </row>
    <row r="72" spans="1:26" x14ac:dyDescent="0.2">
      <c r="D72" s="9">
        <f>D69</f>
        <v>1.52E-2</v>
      </c>
      <c r="F72" s="6" t="s">
        <v>335</v>
      </c>
      <c r="G72" s="27" t="str">
        <f>IF(YEAR(H$3)&gt;MAX(YEAR(H$70)+1,YEAR(G$3)+1),DATE(MAX(YEAR(H$70)+1,YEAR(G$3)+1),1,1),"")</f>
        <v/>
      </c>
      <c r="H72" s="27" t="str">
        <f>IF(G72&lt;&gt;"",DATE(YEAR(H$3)-1,12,31),"")</f>
        <v/>
      </c>
      <c r="I72" s="15">
        <f>IF(H72&lt;&gt;"",MOD(DATE(YEAR(H72),12,31)-DATE(YEAR(G72),1,1)+1,365),0)</f>
        <v>0</v>
      </c>
      <c r="J72" s="25">
        <f t="shared" si="1"/>
        <v>6.5200000000000008E-2</v>
      </c>
      <c r="K72" s="23">
        <f>IF(G72&lt;&gt;"",H72-G72+1,0)</f>
        <v>0</v>
      </c>
      <c r="L72" s="26">
        <f>IF(G72&lt;&gt;"",I$3*J72*(YEAR(H72)-YEAR(G72)+1),0)</f>
        <v>0</v>
      </c>
      <c r="N72" s="27" t="str">
        <f>IF(YEAR(O$3)&gt;MAX(YEAR(O$70)+1,YEAR(N$3)+1),DATE(MAX(YEAR(O$70)+1,YEAR(N$3)+1),1,1),"")</f>
        <v/>
      </c>
      <c r="O72" s="27" t="str">
        <f>IF(N72&lt;&gt;"",DATE(YEAR(O$3)-1,12,31),"")</f>
        <v/>
      </c>
      <c r="P72" s="15">
        <f>IF(O72&lt;&gt;"",MOD(DATE(YEAR(O72),12,31)-DATE(YEAR(N72),1,1)+1,365),0)</f>
        <v>0</v>
      </c>
      <c r="Q72" s="25">
        <f t="shared" si="9"/>
        <v>0</v>
      </c>
      <c r="R72" s="23">
        <f>IF(N72&lt;&gt;"",O72-N72+1,0)</f>
        <v>0</v>
      </c>
      <c r="S72" s="26">
        <f>IF(N72&lt;&gt;"",P$3*Q72*(YEAR(O72)-YEAR(N72)+1),0)</f>
        <v>0</v>
      </c>
      <c r="U72" s="27" t="str">
        <f>IF(YEAR(V$3)&gt;MAX(YEAR(V$70)+1,YEAR(U$3)+1),DATE(MAX(YEAR(V$70)+1,YEAR(U$3)+1),1,1),"")</f>
        <v/>
      </c>
      <c r="V72" s="27" t="str">
        <f>IF(U72&lt;&gt;"",DATE(YEAR(V$3)-1,12,31),"")</f>
        <v/>
      </c>
      <c r="W72" s="15">
        <f>IF(V72&lt;&gt;"",MOD(DATE(YEAR(V72),12,31)-DATE(YEAR(U72),1,1)+1,365),0)</f>
        <v>0</v>
      </c>
      <c r="X72" s="25">
        <f t="shared" si="15"/>
        <v>0</v>
      </c>
      <c r="Y72" s="23">
        <f>IF(U72&lt;&gt;"",V72-U72+1,0)</f>
        <v>0</v>
      </c>
      <c r="Z72" s="26">
        <f>IF(U72&lt;&gt;"",W$3*X72*(YEAR(V72)-YEAR(U72)+1),0)</f>
        <v>0</v>
      </c>
    </row>
    <row r="73" spans="1:26" x14ac:dyDescent="0.2">
      <c r="D73" s="9">
        <f>D69</f>
        <v>1.52E-2</v>
      </c>
      <c r="F73" s="2" t="s">
        <v>336</v>
      </c>
      <c r="G73" s="27" t="str">
        <f>IF(YEAR(H$3)&gt;MAX(YEAR(H$70),YEAR(G$3)),DATE(YEAR(H$3),1,1),"")</f>
        <v/>
      </c>
      <c r="H73" s="27" t="str">
        <f>IF(G73&lt;&gt;"",DATE(YEAR(H$3),12,31),"")</f>
        <v/>
      </c>
      <c r="I73" s="15">
        <f t="shared" si="0"/>
        <v>0</v>
      </c>
      <c r="J73" s="25">
        <f t="shared" si="1"/>
        <v>6.5200000000000008E-2</v>
      </c>
      <c r="K73" s="23">
        <f>IF(G73&lt;&gt;"",MAX(MIN(H73,H$3)-MAX(G73,G$3)+1,0),0)</f>
        <v>0</v>
      </c>
      <c r="L73" s="26">
        <f>I$3*J73/(365+I73)*K73</f>
        <v>0</v>
      </c>
      <c r="N73" s="27" t="str">
        <f>IF(YEAR(O$3)&gt;MAX(YEAR(O$70),YEAR(N$3)),DATE(YEAR(O$3),1,1),"")</f>
        <v/>
      </c>
      <c r="O73" s="27" t="str">
        <f>IF(N73&lt;&gt;"",DATE(YEAR(O$3),12,31),"")</f>
        <v/>
      </c>
      <c r="P73" s="15">
        <f>IF(O73&lt;&gt;"",MOD(DATE(YEAR(O73),12,31)-DATE(YEAR(N73),1,1)+1,365),0)</f>
        <v>0</v>
      </c>
      <c r="Q73" s="25">
        <f t="shared" si="9"/>
        <v>0</v>
      </c>
      <c r="R73" s="23">
        <f>IF(N73&lt;&gt;"",MAX(MIN(O73,O$3)-MAX(N73,N$3)+1,0),0)</f>
        <v>0</v>
      </c>
      <c r="S73" s="26">
        <f>P$3*Q73/(365+P73)*R73</f>
        <v>0</v>
      </c>
      <c r="U73" s="27" t="str">
        <f>IF(YEAR(V$3)&gt;MAX(YEAR(V$70),YEAR(U$3)),DATE(YEAR(V$3),1,1),"")</f>
        <v/>
      </c>
      <c r="V73" s="27" t="str">
        <f>IF(U73&lt;&gt;"",DATE(YEAR(V$3),12,31),"")</f>
        <v/>
      </c>
      <c r="W73" s="15">
        <f>IF(V73&lt;&gt;"",MOD(DATE(YEAR(V73),12,31)-DATE(YEAR(U73),1,1)+1,365),0)</f>
        <v>0</v>
      </c>
      <c r="X73" s="25">
        <f t="shared" si="15"/>
        <v>0</v>
      </c>
      <c r="Y73" s="23">
        <f>IF(U73&lt;&gt;"",MAX(MIN(V73,V$3)-MAX(U73,U$3)+1,0),0)</f>
        <v>0</v>
      </c>
      <c r="Z73" s="26">
        <f>W$3*X73/(365+W73)*Y73</f>
        <v>0</v>
      </c>
    </row>
    <row r="74" spans="1:26" x14ac:dyDescent="0.2">
      <c r="B74" s="2" t="s">
        <v>548</v>
      </c>
      <c r="D74" s="25">
        <f ca="1">IF(OR(TODAY()&lt;SUMIF(C8:C73,"a",A8:A73),TODAY()&gt;SUMIF(C8:C73,"e",B8:B73)),"nicht best.",SUMIF(A11:A69,"&lt;="&amp;TODAY(),D11:D69)-SUMIF(B11:B69,"&lt;"&amp;TODAY(),D11:D69))</f>
        <v>1.2700000000000045E-2</v>
      </c>
      <c r="G74" s="4"/>
      <c r="H74" s="4"/>
      <c r="I74" s="4"/>
      <c r="J74" s="4"/>
      <c r="K74" s="23">
        <f>SUM(K8:K73)</f>
        <v>0</v>
      </c>
      <c r="L74" s="26">
        <f>SUM(L8:L73)</f>
        <v>0</v>
      </c>
      <c r="N74" s="4"/>
      <c r="O74" s="4"/>
      <c r="P74" s="4"/>
      <c r="Q74" s="4"/>
      <c r="R74" s="23">
        <f>SUM(R8:R73)</f>
        <v>0</v>
      </c>
      <c r="S74" s="26">
        <f>SUM(S8:S73)</f>
        <v>0</v>
      </c>
      <c r="U74" s="4"/>
      <c r="V74" s="4"/>
      <c r="W74" s="4"/>
      <c r="X74" s="4"/>
      <c r="Y74" s="23">
        <f>SUM(Y8:Y73)</f>
        <v>0</v>
      </c>
      <c r="Z74" s="26">
        <f>SUM(Z8:Z73)</f>
        <v>0</v>
      </c>
    </row>
    <row r="76" spans="1:26" x14ac:dyDescent="0.2">
      <c r="A76" s="45" t="s">
        <v>611</v>
      </c>
    </row>
    <row r="77" spans="1:26" x14ac:dyDescent="0.2">
      <c r="A77" s="45" t="s">
        <v>612</v>
      </c>
    </row>
    <row r="78" spans="1:26" x14ac:dyDescent="0.2">
      <c r="A78" s="45" t="s">
        <v>613</v>
      </c>
    </row>
    <row r="79" spans="1:26" x14ac:dyDescent="0.2">
      <c r="A79" s="45" t="s">
        <v>0</v>
      </c>
    </row>
    <row r="80" spans="1:26" x14ac:dyDescent="0.2">
      <c r="A80" s="45" t="s">
        <v>1</v>
      </c>
    </row>
    <row r="81" spans="1:1" x14ac:dyDescent="0.2">
      <c r="A81" s="45"/>
    </row>
    <row r="82" spans="1:1" x14ac:dyDescent="0.2">
      <c r="A82" s="45" t="s">
        <v>339</v>
      </c>
    </row>
    <row r="83" spans="1:1" x14ac:dyDescent="0.2">
      <c r="A83" s="45" t="s">
        <v>337</v>
      </c>
    </row>
    <row r="84" spans="1:1" x14ac:dyDescent="0.2">
      <c r="A84" s="45" t="s">
        <v>340</v>
      </c>
    </row>
    <row r="85" spans="1:1" x14ac:dyDescent="0.2">
      <c r="A85" s="45" t="s">
        <v>164</v>
      </c>
    </row>
    <row r="86" spans="1:1" x14ac:dyDescent="0.2">
      <c r="A86" s="45" t="s">
        <v>338</v>
      </c>
    </row>
    <row r="87" spans="1:1" x14ac:dyDescent="0.2">
      <c r="A87" s="45" t="s">
        <v>177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verticalDpi="59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3"/>
  <dimension ref="A3:U73"/>
  <sheetViews>
    <sheetView workbookViewId="0"/>
  </sheetViews>
  <sheetFormatPr baseColWidth="10" defaultColWidth="11.42578125" defaultRowHeight="12.75" x14ac:dyDescent="0.2"/>
  <cols>
    <col min="1" max="1" width="38.7109375" style="2" bestFit="1" customWidth="1"/>
    <col min="2" max="13" width="17.7109375" style="2" customWidth="1"/>
    <col min="14" max="14" width="14" style="2" bestFit="1" customWidth="1"/>
    <col min="15" max="21" width="17.7109375" style="2" customWidth="1"/>
    <col min="22" max="16384" width="11.42578125" style="2"/>
  </cols>
  <sheetData>
    <row r="3" spans="1:13" x14ac:dyDescent="0.2">
      <c r="D3" s="2" t="s">
        <v>157</v>
      </c>
      <c r="E3" s="2" t="s">
        <v>469</v>
      </c>
    </row>
    <row r="4" spans="1:13" x14ac:dyDescent="0.2">
      <c r="A4" s="4" t="s">
        <v>269</v>
      </c>
      <c r="D4" s="765">
        <f ca="1">IF(Fristenrechner!Q4,Fristenrechner!I4,TODAY())</f>
        <v>46203</v>
      </c>
      <c r="E4" s="2" t="str">
        <f ca="1">TEXT(WEEKDAY(D4), "TTTT")</f>
        <v>Dienstag</v>
      </c>
    </row>
    <row r="8" spans="1:13" x14ac:dyDescent="0.2">
      <c r="A8" s="1" t="s">
        <v>467</v>
      </c>
      <c r="B8" s="2" t="s">
        <v>157</v>
      </c>
      <c r="C8" s="2" t="s">
        <v>469</v>
      </c>
      <c r="D8" s="2" t="s">
        <v>470</v>
      </c>
      <c r="E8" s="2" t="s">
        <v>470</v>
      </c>
      <c r="F8" s="2" t="s">
        <v>470</v>
      </c>
      <c r="G8" s="2" t="s">
        <v>470</v>
      </c>
      <c r="H8" s="2" t="s">
        <v>470</v>
      </c>
      <c r="I8" s="2" t="s">
        <v>471</v>
      </c>
      <c r="J8" s="2" t="s">
        <v>472</v>
      </c>
    </row>
    <row r="9" spans="1:13" x14ac:dyDescent="0.2">
      <c r="B9" s="765">
        <f ca="1">$D$4+1</f>
        <v>46204</v>
      </c>
      <c r="C9" s="2" t="str">
        <f ca="1">TEXT(WEEKDAY(B9), "TTTT")</f>
        <v>Mittwoch</v>
      </c>
      <c r="D9" s="2" t="str">
        <f ca="1">IF(SUMIF(FT_FR!$B$3:$L$3,$B9,FT_FR!$O$3:$Y$3)&gt;0,FT_FR!$A$3,IF(SUMIF(FT_FR!$B$4:$L$4,$B9,FT_FR!$O$4:$Y$4)&gt;0,FT_FR!$A$4,IF(SUMIF(FT_FR!$B$5:$L$5,$B9,FT_FR!$O$5:$Y$5)&gt;0,FT_FR!$A$5,IF(SUMIF(FT_FR!$B$6:$L$6,$B9,FT_FR!$O$6:$Y$6)&gt;0,FT_FR!$A$6,IF(SUMIF(FT_FR!$B$7:$L$7,$B9,FT_FR!$O$7:$Y$7)&gt;0,FT_FR!$A$7,IF(SUMIF(FT_FR!$B$8:$L$8,$B9,FT_FR!$O$8:$Y$8)&gt;0,FT_FR!$A$8,IF(SUMIF(FT_FR!$B$9:$L$9,$B9,FT_FR!$O$9:$Y$9)&gt;0,FT_FR!$A$9,"")))))))</f>
        <v/>
      </c>
      <c r="E9" s="2" t="str">
        <f ca="1">IF(SUMIF(FT_FR!$B$10:$L$10,$B9,FT_FR!$O$10:$Y$10)&gt;0,FT_FR!$A$10,IF(SUMIF(FT_FR!$B$11:$L$11,$B9,FT_FR!$O$11:$Y$11)&gt;0,FT_FR!$A$11,IF(SUMIF(FT_FR!$B$12:$L$12,$B9,FT_FR!$O$12:$Y$12)&gt;0,FT_FR!$A$12,IF(SUMIF(FT_FR!$B$13:$L$13,$B9,FT_FR!$O$13:$Y$13)&gt;0,FT_FR!$A$13,IF(SUMIF(FT_FR!$B$14:$L$14,$B9,FT_FR!$O$14:$Y$14)&gt;0,FT_FR!$A$14,IF(SUMIF(FT_FR!$B$15:$L$15,$B9,FT_FR!$O$15:$Y$15)&gt;0,FT_FR!$A$15,""))))))</f>
        <v/>
      </c>
      <c r="F9" s="2" t="str">
        <f ca="1">IF(SUMIF(FT_FR!$B$16:$L$16,$B9,FT_FR!$O$16:$Y$16)&gt;0,FT_FR!$A$16,IF(SUMIF(FT_FR!$B$17:$L$17,$B9,FT_FR!$O$17:$Y$17)&gt;0,FT_FR!$A$17,IF(SUMIF(FT_FR!$B$18:$L$18,$B9,FT_FR!$O$18:$Y$18)&gt;0,FT_FR!$A$18,IF(SUMIF(FT_FR!$B$19:$L$19,$B9,FT_FR!$O$19:$Y$19)&gt;0,FT_FR!$A$19,IF(SUMIF(FT_FR!$B$20:$L$20,$B9,FT_FR!$O$20:$Y$20)&gt;0,FT_FR!$A$20,IF(SUMIF(FT_FR!$B$21:$L$21,$B9,FT_FR!$O$21:$Y$21)&gt;0,FT_FR!$A$21,""))))))</f>
        <v/>
      </c>
      <c r="G9" s="2" t="str">
        <f ca="1">IF(SUMIF(FT_FR!$B$22:$L$22,$B9,FT_FR!$O$22:$Y$22)&gt;0,FT_FR!$A$22,IF(SUMIF(FT_FR!$B$23:$L$23,$B9,FT_FR!$O$23:$Y$23)&gt;0,FT_FR!$A$23,IF(SUMIF(FT_FR!$B$24:$L$24,$B9,FT_FR!$O$24:$Y$24)&gt;0,FT_FR!$A$24,"")))</f>
        <v/>
      </c>
      <c r="H9" s="2" t="str">
        <f ca="1">IF(SUMIF(FT_FR!$B$25:$L$25,$B9,FT_FR!$O$25:$Y$25)&gt;0,FT_FR!$A$25,IF(SUMIF(FT_FR!$B$26:$L$26,$B9,FT_FR!$O$26:$Y$26)&gt;0,FT_FR!$A$26,IF(SUMIF(FT_FR!$B$27:$L$27,$B9,FT_FR!$O$27:$Y$27)&gt;0,FT_FR!$A$27,IF(SUMIF(FT_FR!$B$28:$L$28,$B9,FT_FR!$O$28:$Y$28)&gt;0,FT_FR!$A$28,IF(SUMIF(FT_FR!$B$29:$L$29,$B9,FT_FR!$O$29:$Y$29)&gt;0,FT_FR!$A$29,"")))))</f>
        <v/>
      </c>
      <c r="I9" s="2" t="str">
        <f ca="1">D9&amp;E9&amp;F9&amp;G9&amp;H9</f>
        <v/>
      </c>
      <c r="J9" s="2" t="str">
        <f ca="1">IF(I9="","kein gesetzlicher Feiertag","gesetzlicher Feiertag ("&amp;I9&amp;")")</f>
        <v>kein gesetzlicher Feiertag</v>
      </c>
    </row>
    <row r="10" spans="1:13" x14ac:dyDescent="0.2">
      <c r="B10" s="765">
        <f>Fristenrechner!I10</f>
        <v>0</v>
      </c>
      <c r="C10" s="2" t="str">
        <f>TEXT(WEEKDAY(B10), "TTTT")</f>
        <v>Samstag</v>
      </c>
      <c r="D10" s="2" t="str">
        <f ca="1">IF(SUMIF(FT_FR!$B$3:$L$3,$B10,FT_FR!$O$3:$Y$3)&gt;0,FT_FR!$A$3,IF(SUMIF(FT_FR!$B$4:$L$4,$B10,FT_FR!$O$4:$Y$4)&gt;0,FT_FR!$A$4,IF(SUMIF(FT_FR!$B$5:$L$5,$B10,FT_FR!$O$5:$Y$5)&gt;0,FT_FR!$A$5,IF(SUMIF(FT_FR!$B$6:$L$6,$B10,FT_FR!$O$6:$Y$6)&gt;0,FT_FR!$A$6,IF(SUMIF(FT_FR!$B$7:$L$7,$B10,FT_FR!$O$7:$Y$7)&gt;0,FT_FR!$A$7,IF(SUMIF(FT_FR!$B$8:$L$8,$B10,FT_FR!$O$8:$Y$8)&gt;0,FT_FR!$A$8,IF(SUMIF(FT_FR!$B$9:$L$9,$B10,FT_FR!$O$9:$Y$9)&gt;0,FT_FR!$A$9,"")))))))</f>
        <v/>
      </c>
      <c r="E10" s="2" t="str">
        <f ca="1">IF(SUMIF(FT_FR!$B$10:$L$10,$B10,FT_FR!$O$10:$Y$10)&gt;0,FT_FR!$A$10,IF(SUMIF(FT_FR!$B$11:$L$11,$B10,FT_FR!$O$11:$Y$11)&gt;0,FT_FR!$A$11,IF(SUMIF(FT_FR!$B$12:$L$12,$B10,FT_FR!$O$12:$Y$12)&gt;0,FT_FR!$A$12,IF(SUMIF(FT_FR!$B$13:$L$13,$B10,FT_FR!$O$13:$Y$13)&gt;0,FT_FR!$A$13,IF(SUMIF(FT_FR!$B$14:$L$14,$B10,FT_FR!$O$14:$Y$14)&gt;0,FT_FR!$A$14,IF(SUMIF(FT_FR!$B$16:$L$16,$B10,FT_FR!$O$16:$Y$16)&gt;0,FT_FR!$A$16,""))))))</f>
        <v/>
      </c>
      <c r="F10" s="2" t="str">
        <f ca="1">IF(SUMIF(FT_FR!$B$17:$L$17,$B10,FT_FR!$O$17:$Y$17)&gt;0,FT_FR!$A$17,IF(SUMIF(FT_FR!$B$18:$L$18,$B10,FT_FR!$O$18:$Y$18)&gt;0,FT_FR!$A$18,IF(SUMIF(FT_FR!$B$19:$L$19,$B10,FT_FR!$O$19:$Y$19)&gt;0,FT_FR!$A$19,IF(SUMIF(FT_FR!$B$20:$L$20,$B10,FT_FR!$O$20:$Y$20)&gt;0,FT_FR!$A$20,IF(SUMIF(FT_FR!$B$21:$L$21,$B10,FT_FR!$O$21:$Y$21)&gt;0,FT_FR!$A$21,IF(SUMIF(FT_FR!$B$22:$L$22,$B10,FT_FR!$O$22:$Y$22)&gt;0,FT_FR!$A$22,""))))))</f>
        <v/>
      </c>
      <c r="G10" s="2" t="str">
        <f ca="1">IF(SUMIF(FT_FR!$B$23:$L$23,$B10,FT_FR!$O$23:$Y$23)&gt;0,FT_FR!$A$23,IF(SUMIF(FT_FR!$B$24:$L$24,$B10,FT_FR!$O$24:$Y$24)&gt;0,FT_FR!$A$24,""))</f>
        <v/>
      </c>
      <c r="H10" s="2" t="str">
        <f ca="1">IF(SUMIF(FT_FR!$B$25:$L$25,$B10,FT_FR!$O$25:$Y$25)&gt;0,FT_FR!$A$25,IF(SUMIF(FT_FR!$B$26:$L$26,$B10,FT_FR!$O$26:$Y$26)&gt;0,FT_FR!$A$26,IF(SUMIF(FT_FR!$B$27:$L$27,$B10,FT_FR!$O$27:$Y$27)&gt;0,FT_FR!$A$27,IF(SUMIF(FT_FR!$B$28:$L$28,$B10,FT_FR!$O$28:$Y$28)&gt;0,FT_FR!$A$28,IF(SUMIF(FT_FR!$B$29:$L$29,$B10,FT_FR!$O$29:$Y$29)&gt;0,FT_FR!$A$29,"")))))</f>
        <v/>
      </c>
      <c r="I10" s="2" t="str">
        <f ca="1">D10&amp;E10&amp;F10&amp;G10&amp;H10</f>
        <v/>
      </c>
      <c r="J10" s="2" t="str">
        <f ca="1">IF(I10="","kein gesetzlicher Feiertag","gesetzlicher Feiertag ("&amp;I10&amp;")")</f>
        <v>kein gesetzlicher Feiertag</v>
      </c>
    </row>
    <row r="11" spans="1:13" x14ac:dyDescent="0.2">
      <c r="A11" s="2" t="s">
        <v>468</v>
      </c>
      <c r="B11" s="745">
        <f ca="1">MAX(0,B10-B9+1)</f>
        <v>0</v>
      </c>
      <c r="C11" s="2" t="str">
        <f ca="1">B11&amp;" Tag"&amp;IF(B11=1,"","e")</f>
        <v>0 Tage</v>
      </c>
    </row>
    <row r="13" spans="1:13" x14ac:dyDescent="0.2">
      <c r="A13" s="1" t="s">
        <v>503</v>
      </c>
      <c r="B13" s="8" t="s">
        <v>270</v>
      </c>
      <c r="C13" s="8" t="s">
        <v>569</v>
      </c>
      <c r="D13" s="8" t="s">
        <v>272</v>
      </c>
      <c r="E13" s="8" t="s">
        <v>273</v>
      </c>
      <c r="F13" s="8" t="s">
        <v>274</v>
      </c>
      <c r="G13" s="8" t="s">
        <v>275</v>
      </c>
      <c r="H13" s="8" t="s">
        <v>274</v>
      </c>
      <c r="I13" s="2" t="s">
        <v>402</v>
      </c>
    </row>
    <row r="15" spans="1:13" x14ac:dyDescent="0.2">
      <c r="B15" s="29">
        <f ca="1">DATE(YEAR($D$4),MONTH($D$4)+Fristenrechner!$D15,1)</f>
        <v>46174</v>
      </c>
      <c r="C15" s="23">
        <f ca="1">32-DAY(B15-DAY(B15)+32)</f>
        <v>30</v>
      </c>
      <c r="D15" s="24">
        <f ca="1">DATE(YEAR($D$4),MONTH($D$4)+Fristenrechner!$D15,IF(DAY($D$4)&gt;C15,C15,DAY($D$4)))</f>
        <v>46203</v>
      </c>
      <c r="E15" s="24">
        <f ca="1">D15+Fristenrechner!$E15*7+Fristenrechner!$F15</f>
        <v>46203</v>
      </c>
      <c r="F15" s="24">
        <f ca="1">E15+SUMIF(FT_FR!$B$3:$L$29,E15,FT_FR!$O$3:$Y$29)</f>
        <v>46203</v>
      </c>
      <c r="G15" s="24">
        <f ca="1">IF(WEEKDAY(F15)=7,F15+2,IF(WEEKDAY(F15)=1,F15+1,F15))</f>
        <v>46203</v>
      </c>
      <c r="H15" s="24">
        <f ca="1">G15+SUMIF(FT_FR!$B$3:$L$29,G15,FT_FR!$O$3:$Y$29)</f>
        <v>46203</v>
      </c>
      <c r="I15" s="24">
        <f ca="1">IF(Fristenrechner!Z15,H15,E15)</f>
        <v>46203</v>
      </c>
      <c r="J15" s="24"/>
      <c r="K15" s="24"/>
      <c r="L15" s="24"/>
      <c r="M15" s="24"/>
    </row>
    <row r="16" spans="1:13" x14ac:dyDescent="0.2">
      <c r="B16" s="29">
        <f ca="1">DATE(YEAR($D$4),MONTH($D$4)+Fristenrechner!$D16,1)</f>
        <v>46174</v>
      </c>
      <c r="C16" s="23">
        <f ca="1">32-DAY(B16-DAY(B16)+32)</f>
        <v>30</v>
      </c>
      <c r="D16" s="24">
        <f ca="1">DATE(YEAR($D$4),MONTH($D$4)+Fristenrechner!$D16,IF(DAY($D$4)&gt;C16,C16,DAY($D$4)))</f>
        <v>46203</v>
      </c>
      <c r="E16" s="24">
        <f ca="1">D16+Fristenrechner!$E16*7+Fristenrechner!$F16</f>
        <v>46203</v>
      </c>
      <c r="F16" s="24">
        <f ca="1">E16+SUMIF(FT_FR!$B$3:$L$29,E16,FT_FR!$O$3:$Y$29)</f>
        <v>46203</v>
      </c>
      <c r="G16" s="24">
        <f ca="1">IF(WEEKDAY(F16)=7,F16+2,IF(WEEKDAY(F16)=1,F16+1,F16))</f>
        <v>46203</v>
      </c>
      <c r="H16" s="24">
        <f ca="1">G16+SUMIF(FT_FR!$B$3:$L$29,G16,FT_FR!$O$3:$Y$29)</f>
        <v>46203</v>
      </c>
      <c r="I16" s="24">
        <f ca="1">IF(Fristenrechner!Z16,H16,E16)</f>
        <v>46203</v>
      </c>
      <c r="J16" s="24"/>
      <c r="K16" s="24"/>
      <c r="L16" s="24"/>
      <c r="M16" s="24"/>
    </row>
    <row r="17" spans="2:13" x14ac:dyDescent="0.2">
      <c r="B17" s="29">
        <f ca="1">DATE(YEAR($D$4),MONTH($D$4)+Fristenrechner!$D17,1)</f>
        <v>46174</v>
      </c>
      <c r="C17" s="23">
        <f ca="1">32-DAY(B17-DAY(B17)+32)</f>
        <v>30</v>
      </c>
      <c r="D17" s="24">
        <f ca="1">DATE(YEAR($D$4),MONTH($D$4)+Fristenrechner!$D17,IF(DAY($D$4)&gt;C17,C17,DAY($D$4)))</f>
        <v>46203</v>
      </c>
      <c r="E17" s="24">
        <f ca="1">D17+Fristenrechner!$E17*7+Fristenrechner!$F17</f>
        <v>46203</v>
      </c>
      <c r="F17" s="24">
        <f ca="1">E17+SUMIF(FT_FR!$B$3:$L$29,E17,FT_FR!$O$3:$Y$29)</f>
        <v>46203</v>
      </c>
      <c r="G17" s="24">
        <f ca="1">IF(WEEKDAY(F17)=7,F17+2,IF(WEEKDAY(F17)=1,F17+1,F17))</f>
        <v>46203</v>
      </c>
      <c r="H17" s="24">
        <f ca="1">G17+SUMIF(FT_FR!$B$3:$L$29,G17,FT_FR!$O$3:$Y$29)</f>
        <v>46203</v>
      </c>
      <c r="I17" s="24">
        <f ca="1">IF(Fristenrechner!Z17,H17,E17)</f>
        <v>46203</v>
      </c>
      <c r="J17" s="24"/>
      <c r="K17" s="24"/>
      <c r="L17" s="24"/>
      <c r="M17" s="24"/>
    </row>
    <row r="18" spans="2:13" x14ac:dyDescent="0.2">
      <c r="B18" s="30"/>
      <c r="C18" s="11"/>
      <c r="D18" s="6"/>
      <c r="E18" s="6"/>
      <c r="F18" s="6"/>
      <c r="G18" s="6"/>
      <c r="H18" s="6"/>
    </row>
    <row r="19" spans="2:13" x14ac:dyDescent="0.2">
      <c r="B19" s="29">
        <f ca="1">DATE(YEAR($D$4),MONTH($D$4)+Fristenrechner!$D19,1)</f>
        <v>46174</v>
      </c>
      <c r="C19" s="23">
        <f t="shared" ref="C19:C34" ca="1" si="0">32-DAY(B19-DAY(B19)+32)</f>
        <v>30</v>
      </c>
      <c r="D19" s="24">
        <f ca="1">DATE(YEAR($D$4),MONTH($D$4)+Fristenrechner!$D19,IF(DAY($D$4)&gt;C19,C19,DAY($D$4)))</f>
        <v>46203</v>
      </c>
      <c r="E19" s="24">
        <f ca="1">D19+Fristenrechner!$E19*7+Fristenrechner!$F19</f>
        <v>46217</v>
      </c>
      <c r="F19" s="24">
        <f ca="1">E19+SUMIF(FT_FR!$B$3:$L$29,E19,FT_FR!$O$3:$Y$29)</f>
        <v>46217</v>
      </c>
      <c r="G19" s="24">
        <f t="shared" ref="G19:G34" ca="1" si="1">IF(WEEKDAY(F19)=7,F19+2,IF(WEEKDAY(F19)=1,F19+1,F19))</f>
        <v>46217</v>
      </c>
      <c r="H19" s="24">
        <f ca="1">G19+SUMIF(FT_FR!$B$3:$L$29,G19,FT_FR!$O$3:$Y$29)</f>
        <v>46217</v>
      </c>
      <c r="I19" s="24">
        <f ca="1">IF(Fristenrechner!Z19,H19,E19)</f>
        <v>46217</v>
      </c>
      <c r="J19" s="24"/>
      <c r="K19" s="24"/>
      <c r="L19" s="24"/>
      <c r="M19" s="24"/>
    </row>
    <row r="20" spans="2:13" x14ac:dyDescent="0.2">
      <c r="B20" s="29">
        <f ca="1">DATE(YEAR($D$4),MONTH($D$4)+Fristenrechner!$D20,1)</f>
        <v>46174</v>
      </c>
      <c r="C20" s="23">
        <f t="shared" ca="1" si="0"/>
        <v>30</v>
      </c>
      <c r="D20" s="24">
        <f ca="1">DATE(YEAR($D$4),MONTH($D$4)+Fristenrechner!$D20,IF(DAY($D$4)&gt;C20,C20,DAY($D$4)))</f>
        <v>46203</v>
      </c>
      <c r="E20" s="24">
        <f ca="1">D20+Fristenrechner!$E20*7+Fristenrechner!$F20</f>
        <v>46217</v>
      </c>
      <c r="F20" s="24">
        <f ca="1">E20+SUMIF(FT_FR!$B$3:$L$29,E20,FT_FR!$O$3:$Y$29)</f>
        <v>46217</v>
      </c>
      <c r="G20" s="24">
        <f t="shared" ca="1" si="1"/>
        <v>46217</v>
      </c>
      <c r="H20" s="24">
        <f ca="1">G20+SUMIF(FT_FR!$B$3:$L$29,G20,FT_FR!$O$3:$Y$29)</f>
        <v>46217</v>
      </c>
      <c r="I20" s="24">
        <f ca="1">IF(Fristenrechner!Z20,H20,E20)</f>
        <v>46217</v>
      </c>
      <c r="J20" s="24"/>
      <c r="K20" s="24"/>
      <c r="L20" s="24"/>
      <c r="M20" s="24"/>
    </row>
    <row r="21" spans="2:13" x14ac:dyDescent="0.2">
      <c r="B21" s="29">
        <f ca="1">DATE(YEAR($D$4),MONTH($D$4)+Fristenrechner!$D21,1)</f>
        <v>46204</v>
      </c>
      <c r="C21" s="23">
        <f t="shared" ca="1" si="0"/>
        <v>31</v>
      </c>
      <c r="D21" s="24">
        <f ca="1">DATE(YEAR($D$4),MONTH($D$4)+Fristenrechner!$D21,IF(DAY($D$4)&gt;C21,C21,DAY($D$4)))</f>
        <v>46233</v>
      </c>
      <c r="E21" s="24">
        <f ca="1">D21+Fristenrechner!$E21*7+Fristenrechner!$F21</f>
        <v>46233</v>
      </c>
      <c r="F21" s="24">
        <f ca="1">E21+SUMIF(FT_FR!$B$3:$L$29,E21,FT_FR!$O$3:$Y$29)</f>
        <v>46233</v>
      </c>
      <c r="G21" s="24">
        <f t="shared" ca="1" si="1"/>
        <v>46233</v>
      </c>
      <c r="H21" s="24">
        <f ca="1">G21+SUMIF(FT_FR!$B$3:$L$29,G21,FT_FR!$O$3:$Y$29)</f>
        <v>46233</v>
      </c>
      <c r="I21" s="24">
        <f ca="1">IF(Fristenrechner!Z21,H21,E21)</f>
        <v>46233</v>
      </c>
      <c r="J21" s="24"/>
      <c r="K21" s="24"/>
      <c r="L21" s="24"/>
      <c r="M21" s="24"/>
    </row>
    <row r="22" spans="2:13" x14ac:dyDescent="0.2">
      <c r="B22" s="29">
        <f ca="1">DATE(YEAR($D$4),MONTH($D$4)+Fristenrechner!$D22,1)</f>
        <v>46235</v>
      </c>
      <c r="C22" s="23">
        <f t="shared" ca="1" si="0"/>
        <v>31</v>
      </c>
      <c r="D22" s="24">
        <f ca="1">DATE(YEAR($D$4),MONTH($D$4)+Fristenrechner!$D22,IF(DAY($D$4)&gt;C22,C22,DAY($D$4)))</f>
        <v>46264</v>
      </c>
      <c r="E22" s="24">
        <f ca="1">D22+Fristenrechner!$E22*7+Fristenrechner!$F22</f>
        <v>46264</v>
      </c>
      <c r="F22" s="24">
        <f ca="1">E22+SUMIF(FT_FR!$B$3:$L$29,E22,FT_FR!$O$3:$Y$29)</f>
        <v>46264</v>
      </c>
      <c r="G22" s="24">
        <f t="shared" ca="1" si="1"/>
        <v>46265</v>
      </c>
      <c r="H22" s="24">
        <f ca="1">G22+SUMIF(FT_FR!$B$3:$L$29,G22,FT_FR!$O$3:$Y$29)</f>
        <v>46265</v>
      </c>
      <c r="I22" s="24">
        <f ca="1">IF(Fristenrechner!Z22,H22,E22)</f>
        <v>46265</v>
      </c>
      <c r="J22" s="24"/>
      <c r="K22" s="24"/>
      <c r="L22" s="24"/>
      <c r="M22" s="24"/>
    </row>
    <row r="23" spans="2:13" x14ac:dyDescent="0.2">
      <c r="B23" s="29">
        <f ca="1">DATE(YEAR($D$4),MONTH($D$4)+Fristenrechner!$D23,1)</f>
        <v>46204</v>
      </c>
      <c r="C23" s="23">
        <f t="shared" ca="1" si="0"/>
        <v>31</v>
      </c>
      <c r="D23" s="24">
        <f ca="1">DATE(YEAR($D$4),MONTH($D$4)+Fristenrechner!$D23,IF(DAY($D$4)&gt;C23,C23,DAY($D$4)))</f>
        <v>46233</v>
      </c>
      <c r="E23" s="24">
        <f ca="1">D23+Fristenrechner!$E23*7+Fristenrechner!$F23</f>
        <v>46233</v>
      </c>
      <c r="F23" s="24">
        <f ca="1">E23+SUMIF(FT_FR!$B$3:$L$29,E23,FT_FR!$O$3:$Y$29)</f>
        <v>46233</v>
      </c>
      <c r="G23" s="24">
        <f t="shared" ca="1" si="1"/>
        <v>46233</v>
      </c>
      <c r="H23" s="24">
        <f ca="1">G23+SUMIF(FT_FR!$B$3:$L$29,G23,FT_FR!$O$3:$Y$29)</f>
        <v>46233</v>
      </c>
      <c r="I23" s="24">
        <f ca="1">IF(Fristenrechner!Z23,H23,E23)</f>
        <v>46233</v>
      </c>
      <c r="J23" s="24"/>
      <c r="K23" s="24"/>
      <c r="L23" s="24"/>
      <c r="M23" s="24"/>
    </row>
    <row r="24" spans="2:13" x14ac:dyDescent="0.2">
      <c r="B24" s="29">
        <f ca="1">DATE(YEAR($D$4),MONTH($D$4)+Fristenrechner!$D24,1)</f>
        <v>46235</v>
      </c>
      <c r="C24" s="23">
        <f t="shared" ca="1" si="0"/>
        <v>31</v>
      </c>
      <c r="D24" s="24">
        <f ca="1">DATE(YEAR($D$4),MONTH($D$4)+Fristenrechner!$D24,IF(DAY($D$4)&gt;C24,C24,DAY($D$4)))</f>
        <v>46264</v>
      </c>
      <c r="E24" s="24">
        <f ca="1">D24+Fristenrechner!$E24*7+Fristenrechner!$F24</f>
        <v>46264</v>
      </c>
      <c r="F24" s="24">
        <f ca="1">E24+SUMIF(FT_FR!$B$3:$L$29,E24,FT_FR!$O$3:$Y$29)</f>
        <v>46264</v>
      </c>
      <c r="G24" s="24">
        <f t="shared" ca="1" si="1"/>
        <v>46265</v>
      </c>
      <c r="H24" s="24">
        <f ca="1">G24+SUMIF(FT_FR!$B$3:$L$29,G24,FT_FR!$O$3:$Y$29)</f>
        <v>46265</v>
      </c>
      <c r="I24" s="24">
        <f ca="1">IF(Fristenrechner!Z24,H24,E24)</f>
        <v>46265</v>
      </c>
      <c r="J24" s="24"/>
      <c r="K24" s="24"/>
      <c r="L24" s="24"/>
      <c r="M24" s="24"/>
    </row>
    <row r="25" spans="2:13" x14ac:dyDescent="0.2">
      <c r="B25" s="29">
        <f ca="1">DATE(YEAR($D$4),MONTH($D$4)+Fristenrechner!$D25,1)</f>
        <v>46174</v>
      </c>
      <c r="C25" s="23">
        <f t="shared" ca="1" si="0"/>
        <v>30</v>
      </c>
      <c r="D25" s="24">
        <f ca="1">DATE(YEAR($D$4),MONTH($D$4)+Fristenrechner!$D25,IF(DAY($D$4)&gt;C25,C25,DAY($D$4)))</f>
        <v>46203</v>
      </c>
      <c r="E25" s="24">
        <f ca="1">D25+Fristenrechner!$E25*7+Fristenrechner!$F25</f>
        <v>46217</v>
      </c>
      <c r="F25" s="24">
        <f ca="1">E25+SUMIF(FT_FR!$B$3:$L$29,E25,FT_FR!$O$3:$Y$29)</f>
        <v>46217</v>
      </c>
      <c r="G25" s="24">
        <f t="shared" ca="1" si="1"/>
        <v>46217</v>
      </c>
      <c r="H25" s="24">
        <f ca="1">G25+SUMIF(FT_FR!$B$3:$L$29,G25,FT_FR!$O$3:$Y$29)</f>
        <v>46217</v>
      </c>
      <c r="I25" s="24">
        <f ca="1">IF(Fristenrechner!Z25,H25,E25)</f>
        <v>46217</v>
      </c>
      <c r="J25" s="24"/>
      <c r="K25" s="24"/>
      <c r="L25" s="24"/>
      <c r="M25" s="24"/>
    </row>
    <row r="26" spans="2:13" x14ac:dyDescent="0.2">
      <c r="B26" s="29">
        <f ca="1">DATE(YEAR($D$4),MONTH($D$4)+Fristenrechner!$D26,1)</f>
        <v>46204</v>
      </c>
      <c r="C26" s="23">
        <f t="shared" ca="1" si="0"/>
        <v>31</v>
      </c>
      <c r="D26" s="24">
        <f ca="1">DATE(YEAR($D$4),MONTH($D$4)+Fristenrechner!$D26,IF(DAY($D$4)&gt;C26,C26,DAY($D$4)))</f>
        <v>46233</v>
      </c>
      <c r="E26" s="24">
        <f ca="1">D26+Fristenrechner!$E26*7+Fristenrechner!$F26</f>
        <v>46233</v>
      </c>
      <c r="F26" s="24">
        <f ca="1">E26+SUMIF(FT_FR!$B$3:$L$29,E26,FT_FR!$O$3:$Y$29)</f>
        <v>46233</v>
      </c>
      <c r="G26" s="24">
        <f t="shared" ca="1" si="1"/>
        <v>46233</v>
      </c>
      <c r="H26" s="24">
        <f ca="1">G26+SUMIF(FT_FR!$B$3:$L$29,G26,FT_FR!$O$3:$Y$29)</f>
        <v>46233</v>
      </c>
      <c r="I26" s="24">
        <f ca="1">IF(Fristenrechner!Z26,H26,E26)</f>
        <v>46233</v>
      </c>
      <c r="J26" s="24"/>
      <c r="K26" s="24"/>
      <c r="L26" s="24"/>
      <c r="M26" s="24"/>
    </row>
    <row r="27" spans="2:13" x14ac:dyDescent="0.2">
      <c r="B27" s="29">
        <f ca="1">DATE(YEAR($D$4),MONTH($D$4)+Fristenrechner!$D27,1)</f>
        <v>46174</v>
      </c>
      <c r="C27" s="23">
        <f t="shared" ca="1" si="0"/>
        <v>30</v>
      </c>
      <c r="D27" s="24">
        <f ca="1">DATE(YEAR($D$4),MONTH($D$4)+Fristenrechner!$D27,IF(DAY($D$4)&gt;C27,C27,DAY($D$4)))</f>
        <v>46203</v>
      </c>
      <c r="E27" s="24">
        <f ca="1">D27+Fristenrechner!$E27*7+Fristenrechner!$F27</f>
        <v>46217</v>
      </c>
      <c r="F27" s="24">
        <f ca="1">E27+SUMIF(FT_FR!$B$3:$L$29,E27,FT_FR!$O$3:$Y$29)</f>
        <v>46217</v>
      </c>
      <c r="G27" s="24">
        <f t="shared" ca="1" si="1"/>
        <v>46217</v>
      </c>
      <c r="H27" s="24">
        <f ca="1">G27+SUMIF(FT_FR!$B$3:$L$29,G27,FT_FR!$O$3:$Y$29)</f>
        <v>46217</v>
      </c>
      <c r="I27" s="24">
        <f ca="1">IF(Fristenrechner!Z27,H27,E27)</f>
        <v>46217</v>
      </c>
      <c r="J27" s="24"/>
      <c r="K27" s="24"/>
      <c r="L27" s="24"/>
      <c r="M27" s="24"/>
    </row>
    <row r="28" spans="2:13" x14ac:dyDescent="0.2">
      <c r="B28" s="29">
        <f ca="1">DATE(YEAR($D$4),MONTH($D$4)+Fristenrechner!$D28,1)</f>
        <v>46174</v>
      </c>
      <c r="C28" s="23">
        <f t="shared" ca="1" si="0"/>
        <v>30</v>
      </c>
      <c r="D28" s="24">
        <f ca="1">DATE(YEAR($D$4),MONTH($D$4)+Fristenrechner!$D28,IF(DAY($D$4)&gt;C28,C28,DAY($D$4)))</f>
        <v>46203</v>
      </c>
      <c r="E28" s="24">
        <f ca="1">D28+Fristenrechner!$E28*7+Fristenrechner!$F28</f>
        <v>46217</v>
      </c>
      <c r="F28" s="24">
        <f ca="1">E28+SUMIF(FT_FR!$B$3:$L$29,E28,FT_FR!$O$3:$Y$29)</f>
        <v>46217</v>
      </c>
      <c r="G28" s="24">
        <f t="shared" ca="1" si="1"/>
        <v>46217</v>
      </c>
      <c r="H28" s="24">
        <f ca="1">G28+SUMIF(FT_FR!$B$3:$L$29,G28,FT_FR!$O$3:$Y$29)</f>
        <v>46217</v>
      </c>
      <c r="I28" s="24">
        <f ca="1">IF(Fristenrechner!Z28,H28,E28)</f>
        <v>46217</v>
      </c>
      <c r="J28" s="24"/>
      <c r="K28" s="24"/>
      <c r="L28" s="24"/>
      <c r="M28" s="24"/>
    </row>
    <row r="29" spans="2:13" x14ac:dyDescent="0.2">
      <c r="B29" s="29">
        <f ca="1">DATE(YEAR($D$4),MONTH($D$4)+Fristenrechner!$D29,1)</f>
        <v>46266</v>
      </c>
      <c r="C29" s="23">
        <f t="shared" ca="1" si="0"/>
        <v>30</v>
      </c>
      <c r="D29" s="24">
        <f ca="1">DATE(YEAR($D$4),MONTH($D$4)+Fristenrechner!$D29,IF(DAY($D$4)&gt;C29,C29,DAY($D$4)))</f>
        <v>46295</v>
      </c>
      <c r="E29" s="24">
        <f ca="1">D29+Fristenrechner!$E29*7+Fristenrechner!$F29</f>
        <v>46295</v>
      </c>
      <c r="F29" s="24">
        <f ca="1">E29+SUMIF(FT_FR!$B$3:$L$29,E29,FT_FR!$O$3:$Y$29)</f>
        <v>46295</v>
      </c>
      <c r="G29" s="24">
        <f t="shared" ca="1" si="1"/>
        <v>46295</v>
      </c>
      <c r="H29" s="24">
        <f ca="1">G29+SUMIF(FT_FR!$B$3:$L$29,G29,FT_FR!$O$3:$Y$29)</f>
        <v>46295</v>
      </c>
      <c r="I29" s="24">
        <f ca="1">IF(Fristenrechner!Z29,H29,E29)</f>
        <v>46295</v>
      </c>
      <c r="J29" s="24"/>
      <c r="K29" s="24"/>
      <c r="L29" s="24"/>
      <c r="M29" s="24"/>
    </row>
    <row r="30" spans="2:13" x14ac:dyDescent="0.2">
      <c r="B30" s="29">
        <f ca="1">DATE(YEAR($D$4),MONTH($D$4)+Fristenrechner!$D30,1)</f>
        <v>46174</v>
      </c>
      <c r="C30" s="23">
        <f t="shared" ca="1" si="0"/>
        <v>30</v>
      </c>
      <c r="D30" s="24">
        <f ca="1">DATE(YEAR($D$4),MONTH($D$4)+Fristenrechner!$D30,IF(DAY($D$4)&gt;C30,C30,DAY($D$4)))</f>
        <v>46203</v>
      </c>
      <c r="E30" s="24">
        <f ca="1">D30+Fristenrechner!$E30*7+Fristenrechner!$F30</f>
        <v>46217</v>
      </c>
      <c r="F30" s="24">
        <f ca="1">E30+SUMIF(FT_FR!$B$3:$L$29,E30,FT_FR!$O$3:$Y$29)</f>
        <v>46217</v>
      </c>
      <c r="G30" s="24">
        <f t="shared" ca="1" si="1"/>
        <v>46217</v>
      </c>
      <c r="H30" s="24">
        <f ca="1">G30+SUMIF(FT_FR!$B$3:$L$29,G30,FT_FR!$O$3:$Y$29)</f>
        <v>46217</v>
      </c>
      <c r="I30" s="24">
        <f ca="1">IF(Fristenrechner!Z30,H30,E30)</f>
        <v>46217</v>
      </c>
      <c r="J30" s="24"/>
      <c r="K30" s="24"/>
      <c r="L30" s="24"/>
      <c r="M30" s="24"/>
    </row>
    <row r="31" spans="2:13" x14ac:dyDescent="0.2">
      <c r="B31" s="29">
        <f ca="1">DATE(YEAR($D$4),MONTH($D$4)+Fristenrechner!$D31,1)</f>
        <v>46174</v>
      </c>
      <c r="C31" s="23">
        <f t="shared" ca="1" si="0"/>
        <v>30</v>
      </c>
      <c r="D31" s="24">
        <f ca="1">DATE(YEAR($D$4),MONTH($D$4)+Fristenrechner!$D31,IF(DAY($D$4)&gt;C31,C31,DAY($D$4)))</f>
        <v>46203</v>
      </c>
      <c r="E31" s="24">
        <f ca="1">D31+Fristenrechner!$E31*7+Fristenrechner!$F31</f>
        <v>46217</v>
      </c>
      <c r="F31" s="24">
        <f ca="1">E31+SUMIF(FT_FR!$B$3:$L$29,E31,FT_FR!$O$3:$Y$29)</f>
        <v>46217</v>
      </c>
      <c r="G31" s="24">
        <f t="shared" ca="1" si="1"/>
        <v>46217</v>
      </c>
      <c r="H31" s="24">
        <f ca="1">G31+SUMIF(FT_FR!$B$3:$L$29,G31,FT_FR!$O$3:$Y$29)</f>
        <v>46217</v>
      </c>
      <c r="I31" s="24">
        <f ca="1">IF(Fristenrechner!Z31,H31,E31)</f>
        <v>46217</v>
      </c>
      <c r="J31" s="24"/>
      <c r="K31" s="24"/>
      <c r="L31" s="24"/>
      <c r="M31" s="24"/>
    </row>
    <row r="32" spans="2:13" x14ac:dyDescent="0.2">
      <c r="B32" s="29">
        <f ca="1">DATE(YEAR($D$4),MONTH($D$4)+Fristenrechner!$D32,1)</f>
        <v>46204</v>
      </c>
      <c r="C32" s="23">
        <f t="shared" ca="1" si="0"/>
        <v>31</v>
      </c>
      <c r="D32" s="24">
        <f ca="1">DATE(YEAR($D$4),MONTH($D$4)+Fristenrechner!$D32,IF(DAY($D$4)&gt;C32,C32,DAY($D$4)))</f>
        <v>46233</v>
      </c>
      <c r="E32" s="24">
        <f ca="1">D32+Fristenrechner!$E32*7+Fristenrechner!$F32</f>
        <v>46233</v>
      </c>
      <c r="F32" s="24">
        <f ca="1">E32+SUMIF(FT_FR!$B$3:$L$29,E32,FT_FR!$O$3:$Y$29)</f>
        <v>46233</v>
      </c>
      <c r="G32" s="24">
        <f t="shared" ca="1" si="1"/>
        <v>46233</v>
      </c>
      <c r="H32" s="24">
        <f ca="1">G32+SUMIF(FT_FR!$B$3:$L$29,G32,FT_FR!$O$3:$Y$29)</f>
        <v>46233</v>
      </c>
      <c r="I32" s="24">
        <f ca="1">IF(Fristenrechner!Z32,H32,E32)</f>
        <v>46233</v>
      </c>
      <c r="J32" s="24"/>
      <c r="K32" s="24"/>
      <c r="L32" s="24"/>
      <c r="M32" s="24"/>
    </row>
    <row r="33" spans="1:13" x14ac:dyDescent="0.2">
      <c r="B33" s="29">
        <f ca="1">DATE(YEAR($D$4),MONTH($D$4)+Fristenrechner!$D33,1)</f>
        <v>46174</v>
      </c>
      <c r="C33" s="23">
        <f t="shared" ca="1" si="0"/>
        <v>30</v>
      </c>
      <c r="D33" s="24">
        <f ca="1">DATE(YEAR($D$4),MONTH($D$4)+Fristenrechner!$D33,IF(DAY($D$4)&gt;C33,C33,DAY($D$4)))</f>
        <v>46203</v>
      </c>
      <c r="E33" s="24">
        <f ca="1">D33+Fristenrechner!$E33*7+Fristenrechner!$F33</f>
        <v>46217</v>
      </c>
      <c r="F33" s="24">
        <f ca="1">E33+SUMIF(FT_FR!$B$3:$L$29,E33,FT_FR!$O$3:$Y$29)</f>
        <v>46217</v>
      </c>
      <c r="G33" s="24">
        <f t="shared" ca="1" si="1"/>
        <v>46217</v>
      </c>
      <c r="H33" s="24">
        <f ca="1">G33+SUMIF(FT_FR!$B$3:$L$29,G33,FT_FR!$O$3:$Y$29)</f>
        <v>46217</v>
      </c>
      <c r="I33" s="24">
        <f ca="1">IF(Fristenrechner!Z33,H33,E33)</f>
        <v>46217</v>
      </c>
      <c r="J33" s="24"/>
      <c r="K33" s="24"/>
      <c r="L33" s="24"/>
      <c r="M33" s="24"/>
    </row>
    <row r="34" spans="1:13" x14ac:dyDescent="0.2">
      <c r="B34" s="29">
        <f ca="1">DATE(YEAR($D$4),MONTH($D$4)+Fristenrechner!$D34,1)</f>
        <v>46174</v>
      </c>
      <c r="C34" s="23">
        <f t="shared" ca="1" si="0"/>
        <v>30</v>
      </c>
      <c r="D34" s="24">
        <f ca="1">DATE(YEAR($D$4),MONTH($D$4)+Fristenrechner!$D34,IF(DAY($D$4)&gt;C34,C34,DAY($D$4)))</f>
        <v>46203</v>
      </c>
      <c r="E34" s="24">
        <f ca="1">D34+Fristenrechner!$E34*7+Fristenrechner!$F34</f>
        <v>46217</v>
      </c>
      <c r="F34" s="24">
        <f ca="1">E34+SUMIF(FT_FR!$B$3:$L$29,E34,FT_FR!$O$3:$Y$29)</f>
        <v>46217</v>
      </c>
      <c r="G34" s="24">
        <f t="shared" ca="1" si="1"/>
        <v>46217</v>
      </c>
      <c r="H34" s="24">
        <f ca="1">G34+SUMIF(FT_FR!$B$3:$L$29,G34,FT_FR!$O$3:$Y$29)</f>
        <v>46217</v>
      </c>
      <c r="I34" s="24">
        <f ca="1">IF(Fristenrechner!Z34,H34,E34)</f>
        <v>46217</v>
      </c>
      <c r="J34" s="24"/>
      <c r="K34" s="24"/>
      <c r="L34" s="24"/>
      <c r="M34" s="24"/>
    </row>
    <row r="35" spans="1:13" x14ac:dyDescent="0.2">
      <c r="B35" s="30"/>
      <c r="C35" s="11"/>
      <c r="D35" s="6"/>
      <c r="E35" s="6"/>
      <c r="F35" s="6"/>
      <c r="G35" s="6"/>
      <c r="H35" s="6"/>
    </row>
    <row r="36" spans="1:13" x14ac:dyDescent="0.2">
      <c r="B36" s="29">
        <f ca="1">DATE(YEAR($D$4),MONTH($D$4)+Fristenrechner!$D36,1)</f>
        <v>46174</v>
      </c>
      <c r="C36" s="23">
        <f ca="1">32-DAY(B36-DAY(B36)+32)</f>
        <v>30</v>
      </c>
      <c r="D36" s="24">
        <f ca="1">DATE(YEAR($D$4),MONTH($D$4)+Fristenrechner!$D36,IF(DAY($D$4)&gt;C36,C36,DAY($D$4)))</f>
        <v>46203</v>
      </c>
      <c r="E36" s="24">
        <f ca="1">D36+Fristenrechner!$E36*7+Fristenrechner!$F36</f>
        <v>46224</v>
      </c>
      <c r="F36" s="24">
        <f ca="1">E36+SUMIF(FT_FR!$B$3:$L$29,E36,FT_FR!$O$3:$Y$29)</f>
        <v>46224</v>
      </c>
      <c r="G36" s="24">
        <f ca="1">IF(WEEKDAY(F36)=7,F36+2,IF(WEEKDAY(F36)=1,F36+1,F36))</f>
        <v>46224</v>
      </c>
      <c r="H36" s="24">
        <f ca="1">G36+SUMIF(FT_FR!$B$3:$L$29,G36,FT_FR!$O$3:$Y$29)</f>
        <v>46224</v>
      </c>
      <c r="I36" s="24">
        <f ca="1">IF(Fristenrechner!Z36,H36,E36)</f>
        <v>46224</v>
      </c>
      <c r="J36" s="24"/>
      <c r="K36" s="24"/>
      <c r="L36" s="24"/>
      <c r="M36" s="24"/>
    </row>
    <row r="37" spans="1:13" x14ac:dyDescent="0.2">
      <c r="B37" s="29">
        <f ca="1">DATE(YEAR($D$4),MONTH($D$4)+Fristenrechner!$D37,1)</f>
        <v>46174</v>
      </c>
      <c r="C37" s="23">
        <f ca="1">32-DAY(B37-DAY(B37)+32)</f>
        <v>30</v>
      </c>
      <c r="D37" s="24">
        <f ca="1">DATE(YEAR($D$4),MONTH($D$4)+Fristenrechner!$D37,IF(DAY($D$4)&gt;C37,C37,DAY($D$4)))</f>
        <v>46203</v>
      </c>
      <c r="E37" s="24">
        <f ca="1">D37+Fristenrechner!$E37*7+Fristenrechner!$F37</f>
        <v>46224</v>
      </c>
      <c r="F37" s="24">
        <f ca="1">E37+SUMIF(FT_FR!$B$3:$L$29,E37,FT_FR!$O$3:$Y$29)</f>
        <v>46224</v>
      </c>
      <c r="G37" s="24">
        <f ca="1">IF(WEEKDAY(F37)=7,F37+2,IF(WEEKDAY(F37)=1,F37+1,F37))</f>
        <v>46224</v>
      </c>
      <c r="H37" s="24">
        <f ca="1">G37+SUMIF(FT_FR!$B$3:$L$29,G37,FT_FR!$O$3:$Y$29)</f>
        <v>46224</v>
      </c>
      <c r="I37" s="24">
        <f ca="1">IF(Fristenrechner!Z37,H37,E37)</f>
        <v>46224</v>
      </c>
      <c r="J37" s="24"/>
      <c r="K37" s="24"/>
      <c r="L37" s="24"/>
      <c r="M37" s="24"/>
    </row>
    <row r="38" spans="1:13" x14ac:dyDescent="0.2">
      <c r="B38" s="29">
        <f ca="1">DATE(YEAR($D$4),MONTH($D$4)+Fristenrechner!$D38,1)</f>
        <v>46266</v>
      </c>
      <c r="C38" s="23">
        <f ca="1">32-DAY(B38-DAY(B38)+32)</f>
        <v>30</v>
      </c>
      <c r="D38" s="24">
        <f ca="1">DATE(YEAR($D$4),MONTH($D$4)+Fristenrechner!$D38,IF(DAY($D$4)&gt;C38,C38,DAY($D$4)))</f>
        <v>46295</v>
      </c>
      <c r="E38" s="24">
        <f ca="1">D38+Fristenrechner!$E38*7+Fristenrechner!$F38</f>
        <v>46295</v>
      </c>
      <c r="F38" s="24">
        <f ca="1">E38+SUMIF(FT_FR!$B$3:$L$29,E38,FT_FR!$O$3:$Y$29)</f>
        <v>46295</v>
      </c>
      <c r="G38" s="24">
        <f ca="1">IF(WEEKDAY(F38)=7,F38+2,IF(WEEKDAY(F38)=1,F38+1,F38))</f>
        <v>46295</v>
      </c>
      <c r="H38" s="24">
        <f ca="1">G38+SUMIF(FT_FR!$B$3:$L$29,G38,FT_FR!$O$3:$Y$29)</f>
        <v>46295</v>
      </c>
      <c r="I38" s="24">
        <f ca="1">IF(Fristenrechner!Z38,H38,E38)</f>
        <v>46295</v>
      </c>
      <c r="J38" s="24"/>
      <c r="K38" s="24"/>
      <c r="L38" s="24"/>
      <c r="M38" s="24"/>
    </row>
    <row r="39" spans="1:13" x14ac:dyDescent="0.2">
      <c r="B39" s="30"/>
      <c r="C39" s="11"/>
      <c r="D39" s="6"/>
      <c r="E39" s="6"/>
      <c r="F39" s="6"/>
      <c r="G39" s="6"/>
      <c r="H39" s="6"/>
    </row>
    <row r="40" spans="1:13" x14ac:dyDescent="0.2">
      <c r="B40" s="29">
        <f ca="1">DATE(YEAR($D$4),MONTH($D$4)+Fristenrechner!$D40,1)</f>
        <v>46174</v>
      </c>
      <c r="C40" s="23">
        <f ca="1">32-DAY(B40-DAY(B40)+32)</f>
        <v>30</v>
      </c>
      <c r="D40" s="24">
        <f ca="1">DATE(YEAR($D$4),MONTH($D$4)+Fristenrechner!$D40,IF(DAY($D$4)&gt;C40,C40,DAY($D$4)))</f>
        <v>46203</v>
      </c>
      <c r="E40" s="24">
        <f ca="1">D40+Fristenrechner!$E40*7+Fristenrechner!$F40</f>
        <v>46217</v>
      </c>
      <c r="F40" s="24">
        <f ca="1">E40+SUMIF(FT_FR!$B$3:$L$29,E40,FT_FR!$O$3:$Y$29)</f>
        <v>46217</v>
      </c>
      <c r="G40" s="24">
        <f ca="1">IF(WEEKDAY(F40)=7,F40+2,IF(WEEKDAY(F40)=1,F40+1,F40))</f>
        <v>46217</v>
      </c>
      <c r="H40" s="24">
        <f ca="1">G40+SUMIF(FT_FR!$B$3:$L$29,G40,FT_FR!$O$3:$Y$29)</f>
        <v>46217</v>
      </c>
      <c r="I40" s="24">
        <f ca="1">IF(Fristenrechner!Z40,H40,E40)</f>
        <v>46217</v>
      </c>
      <c r="J40" s="24"/>
      <c r="K40" s="24"/>
      <c r="L40" s="24"/>
      <c r="M40" s="24"/>
    </row>
    <row r="41" spans="1:13" x14ac:dyDescent="0.2">
      <c r="B41" s="29">
        <f ca="1">DATE(YEAR($D$4),MONTH($D$4)+Fristenrechner!$D41,1)</f>
        <v>46204</v>
      </c>
      <c r="C41" s="23">
        <f ca="1">32-DAY(B41-DAY(B41)+32)</f>
        <v>31</v>
      </c>
      <c r="D41" s="24">
        <f ca="1">DATE(YEAR($D$4),MONTH($D$4)+Fristenrechner!$D41,IF(DAY($D$4)&gt;C41,C41,DAY($D$4)))</f>
        <v>46233</v>
      </c>
      <c r="E41" s="24">
        <f ca="1">D41+Fristenrechner!$E41*7+Fristenrechner!$F41</f>
        <v>46233</v>
      </c>
      <c r="F41" s="24">
        <f ca="1">E41+SUMIF(FT_FR!$B$3:$L$29,E41,FT_FR!$O$3:$Y$29)</f>
        <v>46233</v>
      </c>
      <c r="G41" s="24">
        <f ca="1">IF(WEEKDAY(F41)=7,F41+2,IF(WEEKDAY(F41)=1,F41+1,F41))</f>
        <v>46233</v>
      </c>
      <c r="H41" s="24">
        <f ca="1">G41+SUMIF(FT_FR!$B$3:$L$29,G41,FT_FR!$O$3:$Y$29)</f>
        <v>46233</v>
      </c>
      <c r="I41" s="24">
        <f ca="1">IF(Fristenrechner!Z41,H41,E41)</f>
        <v>46233</v>
      </c>
      <c r="J41" s="24"/>
      <c r="K41" s="24"/>
      <c r="L41" s="24"/>
      <c r="M41" s="24"/>
    </row>
    <row r="42" spans="1:13" x14ac:dyDescent="0.2">
      <c r="A42" s="2" t="s">
        <v>276</v>
      </c>
      <c r="B42" s="8" t="s">
        <v>270</v>
      </c>
      <c r="C42" s="8" t="s">
        <v>569</v>
      </c>
      <c r="D42" s="8" t="s">
        <v>277</v>
      </c>
      <c r="E42" s="8" t="s">
        <v>278</v>
      </c>
      <c r="F42" s="8" t="s">
        <v>279</v>
      </c>
      <c r="G42" s="8" t="s">
        <v>280</v>
      </c>
      <c r="H42" s="8" t="s">
        <v>279</v>
      </c>
    </row>
    <row r="43" spans="1:13" x14ac:dyDescent="0.2">
      <c r="B43" s="29">
        <f ca="1">DATE(YEAR($D$4),MONTH($D$4)-Fristenrechner!$D43,1)</f>
        <v>46174</v>
      </c>
      <c r="C43" s="23">
        <f ca="1">32-DAY(B43-DAY(B43)+32)</f>
        <v>30</v>
      </c>
      <c r="D43" s="24">
        <f ca="1">DATE(YEAR($D$4),MONTH($D$4)-Fristenrechner!$D43,IF(DAY($D$4)&gt;C43,C43,DAY($D$4)))</f>
        <v>46203</v>
      </c>
      <c r="E43" s="24">
        <f ca="1">D43-Fristenrechner!$E43*7-Fristenrechner!$F43-1</f>
        <v>46202</v>
      </c>
      <c r="F43" s="24">
        <f ca="1">E43-SUMIF(FT_FR!$B$3:$L$29,E43,FT_FR!$AA$3:$AK$29)</f>
        <v>46202</v>
      </c>
      <c r="G43" s="24">
        <f ca="1">IF(WEEKDAY(F43)=1,F43-1,F43)</f>
        <v>46202</v>
      </c>
      <c r="H43" s="24">
        <f ca="1">G43-SUMIF(FT_FR!$B$3:$L$29,G43,FT_FR!$AA$3:$AK$29)</f>
        <v>46202</v>
      </c>
    </row>
    <row r="44" spans="1:13" x14ac:dyDescent="0.2">
      <c r="B44" s="29">
        <f ca="1">DATE(YEAR($D$4),MONTH($D$4)-Fristenrechner!$D44,1)</f>
        <v>46174</v>
      </c>
      <c r="C44" s="23">
        <f ca="1">32-DAY(B44-DAY(B44)+32)</f>
        <v>30</v>
      </c>
      <c r="D44" s="24">
        <f ca="1">DATE(YEAR($D$4),MONTH($D$4)-Fristenrechner!$D44,IF(DAY($D$4)&gt;C44,C44,DAY($D$4)))</f>
        <v>46203</v>
      </c>
      <c r="E44" s="24">
        <f ca="1">D44-Fristenrechner!$E44*7-Fristenrechner!$F44-1</f>
        <v>46202</v>
      </c>
      <c r="F44" s="24">
        <f ca="1">E44-SUMIF(FT_FR!$B$3:$L$29,E44,FT_FR!$AA$3:$AK$29)</f>
        <v>46202</v>
      </c>
      <c r="G44" s="24">
        <f ca="1">IF(WEEKDAY(F44)=1,F44-1,F44)</f>
        <v>46202</v>
      </c>
      <c r="H44" s="24">
        <f ca="1">G44-SUMIF(FT_FR!$B$3:$L$29,G44,FT_FR!$AA$3:$AK$29)</f>
        <v>46202</v>
      </c>
    </row>
    <row r="45" spans="1:13" x14ac:dyDescent="0.2">
      <c r="B45" s="29">
        <f ca="1">DATE(YEAR($D$4),MONTH($D$4)-Fristenrechner!$D45,1)</f>
        <v>46174</v>
      </c>
      <c r="C45" s="23">
        <f ca="1">32-DAY(B45-DAY(B45)+32)</f>
        <v>30</v>
      </c>
      <c r="D45" s="24">
        <f ca="1">DATE(YEAR($D$4),MONTH($D$4)-Fristenrechner!$D45,IF(DAY($D$4)&gt;C45,C45,DAY($D$4)))</f>
        <v>46203</v>
      </c>
      <c r="E45" s="24">
        <f ca="1">D45-Fristenrechner!$E45*7-Fristenrechner!$F45-1</f>
        <v>46202</v>
      </c>
      <c r="F45" s="24">
        <f ca="1">E45-SUMIF(FT_FR!$B$3:$L$29,E45,FT_FR!$AA$3:$AK$29)</f>
        <v>46202</v>
      </c>
      <c r="G45" s="24">
        <f ca="1">IF(WEEKDAY(F45)=1,F45-1,F45)</f>
        <v>46202</v>
      </c>
      <c r="H45" s="24">
        <f ca="1">G45-SUMIF(FT_FR!$B$3:$L$29,G45,FT_FR!$AA$3:$AK$29)</f>
        <v>46202</v>
      </c>
    </row>
    <row r="46" spans="1:13" x14ac:dyDescent="0.2">
      <c r="B46" s="30"/>
      <c r="C46" s="8"/>
      <c r="D46" s="8"/>
      <c r="E46" s="8"/>
      <c r="F46" s="8"/>
      <c r="G46" s="8"/>
      <c r="H46" s="8"/>
    </row>
    <row r="47" spans="1:13" x14ac:dyDescent="0.2">
      <c r="B47" s="29">
        <f ca="1">DATE(YEAR($D$4),MONTH($D$4)-Fristenrechner!$D47,1)</f>
        <v>46174</v>
      </c>
      <c r="C47" s="23">
        <f ca="1">32-DAY(B47-DAY(B47)+32)</f>
        <v>30</v>
      </c>
      <c r="D47" s="24">
        <f ca="1">DATE(YEAR($D$4),MONTH($D$4)-Fristenrechner!$D47,IF(DAY($D$4)&gt;C47,C47,DAY($D$4)))</f>
        <v>46203</v>
      </c>
      <c r="E47" s="24">
        <f ca="1">D47-Fristenrechner!$E47*7-Fristenrechner!$F47-1</f>
        <v>46188</v>
      </c>
      <c r="F47" s="24">
        <f ca="1">E47-SUMIF(FT_FR!$B$3:$L$29,E47,FT_FR!$AA$3:$AK$29)</f>
        <v>46188</v>
      </c>
      <c r="G47" s="24">
        <f ca="1">IF(WEEKDAY(F47)=1,F47-1,F47)</f>
        <v>46188</v>
      </c>
      <c r="H47" s="24">
        <f ca="1">G47-SUMIF(FT_FR!$B$3:$L$29,G47,FT_FR!$AA$3:$AK$29)</f>
        <v>46188</v>
      </c>
    </row>
    <row r="48" spans="1:13" x14ac:dyDescent="0.2">
      <c r="B48" s="29">
        <f ca="1">DATE(YEAR($D$4),MONTH($D$4)-Fristenrechner!$D48,1)</f>
        <v>46174</v>
      </c>
      <c r="C48" s="23">
        <f ca="1">32-DAY(B48-DAY(B48)+32)</f>
        <v>30</v>
      </c>
      <c r="D48" s="24">
        <f ca="1">DATE(YEAR($D$4),MONTH($D$4)-Fristenrechner!$D48,IF(DAY($D$4)&gt;C48,C48,DAY($D$4)))</f>
        <v>46203</v>
      </c>
      <c r="E48" s="24">
        <f ca="1">D48-Fristenrechner!$E48*7-Fristenrechner!$F48-1</f>
        <v>46195</v>
      </c>
      <c r="F48" s="24">
        <f ca="1">E48-SUMIF(FT_FR!$B$3:$L$29,E48,FT_FR!$AA$3:$AK$29)</f>
        <v>46195</v>
      </c>
      <c r="G48" s="24">
        <f ca="1">IF(WEEKDAY(F48)=1,F48-1,F48)</f>
        <v>46195</v>
      </c>
      <c r="H48" s="24">
        <f ca="1">G48-SUMIF(FT_FR!$B$3:$L$29,G48,FT_FR!$AA$3:$AK$29)</f>
        <v>46195</v>
      </c>
    </row>
    <row r="49" spans="1:21" x14ac:dyDescent="0.2">
      <c r="B49" s="29">
        <f ca="1">DATE(YEAR($D$4),MONTH($D$4)-Fristenrechner!$D49,1)</f>
        <v>46174</v>
      </c>
      <c r="C49" s="23">
        <f ca="1">32-DAY(B49-DAY(B49)+32)</f>
        <v>30</v>
      </c>
      <c r="D49" s="24">
        <f ca="1">DATE(YEAR($D$4),MONTH($D$4)-Fristenrechner!$D49,IF(DAY($D$4)&gt;C49,C49,DAY($D$4)))</f>
        <v>46203</v>
      </c>
      <c r="E49" s="24">
        <f ca="1">D49-Fristenrechner!$E49*7-Fristenrechner!$F49-1</f>
        <v>46199</v>
      </c>
      <c r="F49" s="24">
        <f ca="1">E49-SUMIF(FT_FR!$B$3:$L$29,E49,FT_FR!$AA$3:$AK$29)</f>
        <v>46199</v>
      </c>
      <c r="G49" s="24">
        <f ca="1">IF(WEEKDAY(F49)=1,F49-1,F49)</f>
        <v>46199</v>
      </c>
      <c r="H49" s="24">
        <f ca="1">G49-SUMIF(FT_FR!$B$3:$L$29,G49,FT_FR!$AA$3:$AK$29)</f>
        <v>46199</v>
      </c>
    </row>
    <row r="50" spans="1:21" x14ac:dyDescent="0.2">
      <c r="B50" s="29">
        <f ca="1">DATE(YEAR($D$4),MONTH($D$4)-Fristenrechner!$D50,1)</f>
        <v>46174</v>
      </c>
      <c r="C50" s="23">
        <f ca="1">32-DAY(B50-DAY(B50)+32)</f>
        <v>30</v>
      </c>
      <c r="D50" s="24">
        <f ca="1">DATE(YEAR($D$4),MONTH($D$4)-Fristenrechner!$D50,IF(DAY($D$4)&gt;C50,C50,DAY($D$4)))</f>
        <v>46203</v>
      </c>
      <c r="E50" s="24">
        <f ca="1">D50-Fristenrechner!$E50*7-Fristenrechner!$F50-1</f>
        <v>46195</v>
      </c>
      <c r="F50" s="24">
        <f ca="1">E50-SUMIF(FT_FR!$B$3:$L$29,E50,FT_FR!$AA$3:$AK$29)</f>
        <v>46195</v>
      </c>
      <c r="G50" s="24">
        <f ca="1">IF(WEEKDAY(F50)=1,F50-1,F50)</f>
        <v>46195</v>
      </c>
      <c r="H50" s="24">
        <f ca="1">G50-SUMIF(FT_FR!$B$3:$L$29,G50,FT_FR!$AA$3:$AK$29)</f>
        <v>46195</v>
      </c>
    </row>
    <row r="51" spans="1:21" x14ac:dyDescent="0.2">
      <c r="B51" s="29">
        <f ca="1">DATE(YEAR($D$4),MONTH($D$4)-Fristenrechner!$D51,1)</f>
        <v>46174</v>
      </c>
      <c r="C51" s="23">
        <f ca="1">32-DAY(B51-DAY(B51)+32)</f>
        <v>30</v>
      </c>
      <c r="D51" s="24">
        <f ca="1">DATE(YEAR($D$4),MONTH($D$4)-Fristenrechner!$D51,IF(DAY($D$4)&gt;C51,C51,DAY($D$4)))</f>
        <v>46203</v>
      </c>
      <c r="E51" s="24">
        <f ca="1">D51-Fristenrechner!$E51*7-Fristenrechner!$F51-1</f>
        <v>46199</v>
      </c>
      <c r="F51" s="24">
        <f ca="1">E51-SUMIF(FT_FR!$B$3:$L$29,E51,FT_FR!$AA$3:$AK$29)</f>
        <v>46199</v>
      </c>
      <c r="G51" s="24">
        <f ca="1">IF(WEEKDAY(F51)=1,F51-1,F51)</f>
        <v>46199</v>
      </c>
      <c r="H51" s="24">
        <f ca="1">G51-SUMIF(FT_FR!$B$3:$L$29,G51,FT_FR!$AA$3:$AK$29)</f>
        <v>46199</v>
      </c>
    </row>
    <row r="53" spans="1:21" x14ac:dyDescent="0.2">
      <c r="A53" s="1" t="s">
        <v>577</v>
      </c>
      <c r="B53" s="8" t="s">
        <v>234</v>
      </c>
      <c r="C53" s="8" t="s">
        <v>270</v>
      </c>
      <c r="D53" s="2" t="s">
        <v>569</v>
      </c>
      <c r="E53" s="8" t="s">
        <v>282</v>
      </c>
      <c r="F53" s="8" t="s">
        <v>283</v>
      </c>
      <c r="G53" s="2" t="s">
        <v>55</v>
      </c>
      <c r="J53" s="2" t="s">
        <v>56</v>
      </c>
      <c r="P53" s="2" t="s">
        <v>407</v>
      </c>
      <c r="S53" s="2" t="s">
        <v>409</v>
      </c>
    </row>
    <row r="54" spans="1:21" x14ac:dyDescent="0.2">
      <c r="G54" s="8" t="s">
        <v>274</v>
      </c>
      <c r="H54" s="8" t="s">
        <v>275</v>
      </c>
      <c r="I54" s="8" t="s">
        <v>274</v>
      </c>
      <c r="J54" s="8" t="s">
        <v>98</v>
      </c>
      <c r="K54" s="8" t="s">
        <v>403</v>
      </c>
      <c r="L54" s="8" t="s">
        <v>404</v>
      </c>
      <c r="M54" s="8" t="s">
        <v>406</v>
      </c>
      <c r="N54" s="2" t="s">
        <v>405</v>
      </c>
      <c r="O54" s="8" t="s">
        <v>281</v>
      </c>
      <c r="P54" s="8" t="s">
        <v>270</v>
      </c>
      <c r="Q54" s="8" t="s">
        <v>569</v>
      </c>
      <c r="R54" s="8" t="s">
        <v>570</v>
      </c>
      <c r="S54" s="8" t="s">
        <v>408</v>
      </c>
      <c r="T54" s="8" t="s">
        <v>275</v>
      </c>
      <c r="U54" s="8" t="s">
        <v>274</v>
      </c>
    </row>
    <row r="55" spans="1:21" x14ac:dyDescent="0.2">
      <c r="B55" s="24">
        <f ca="1">IF(Fristenrechner!H55="Jahresende",DATE(YEAR($D$4),12,31),$D$4)</f>
        <v>46203</v>
      </c>
      <c r="C55" s="29">
        <f ca="1">DATE(YEAR(B55),MONTH(B55)+Fristenrechner!$E55*12+Fristenrechner!$F55,1)</f>
        <v>46174</v>
      </c>
      <c r="D55" s="23">
        <f ca="1">32-DAY(C55-DAY(C55)+32)</f>
        <v>30</v>
      </c>
      <c r="E55" s="24">
        <f ca="1">DATE(YEAR(B55),MONTH(B55)+Fristenrechner!$E55*12+Fristenrechner!$F55,IF(DAY(B55)&gt;D55,D55,DAY(B55)))</f>
        <v>46203</v>
      </c>
      <c r="F55" s="24">
        <f ca="1">E55+Fristenrechner!$G55*7</f>
        <v>46203</v>
      </c>
      <c r="G55" s="24">
        <f ca="1">F55+SUMIF(FT_FR!$B$3:$L$29,F55,FT_FR!$O$3:$Y$29)</f>
        <v>46203</v>
      </c>
      <c r="H55" s="24">
        <f ca="1">IF(WEEKDAY(G55)=7,G55+2,IF(WEEKDAY(G55)=1,G55+1,G55))</f>
        <v>46203</v>
      </c>
      <c r="I55" s="24">
        <f ca="1">H55+SUMIF(FT_FR!$B$3:$L$29,H55,FT_FR!$O$3:$Y$29)</f>
        <v>46203</v>
      </c>
      <c r="J55" s="24">
        <f>Fristenrechner!J55</f>
        <v>0</v>
      </c>
      <c r="K55" s="29">
        <f>DATE(YEAR(J55),MONTH(J55)+6,1)</f>
        <v>183</v>
      </c>
      <c r="L55" s="23">
        <f>32-DAY(K55-DAY(K55)+32)</f>
        <v>31</v>
      </c>
      <c r="M55" s="24">
        <f>DATE(YEAR(J55),MONTH(J55)+6,IF(DAY(J55)&gt;L55,L55,DAY(J55)))</f>
        <v>182</v>
      </c>
      <c r="N55" s="23">
        <f ca="1">IF(AND(Fristenrechner!I55&gt;0,J55&gt;=Fristenrechner!I55,Fristenrechner!I55&lt;=I55),MAX(0,IF(Fristenrechner!AA55,M55,J55)-MAX(IF(Fristenrechner!I55&gt;F55,I55,B55+1),Fristenrechner!I55)+1),0)</f>
        <v>0</v>
      </c>
      <c r="O55" s="24">
        <f ca="1">IF(Fristenrechner!I55&gt;F55,DATE(YEAR(I55),MONTH(I55),DAY(I55)+N55),DATE(YEAR(F55),MONTH(F55),DAY(F55)+N55))</f>
        <v>46203</v>
      </c>
      <c r="P55" s="29">
        <f>DATE(YEAR(Fristenrechner!J55),MONTH(Fristenrechner!J55)+3,1)</f>
        <v>92</v>
      </c>
      <c r="Q55" s="23">
        <f>32-DAY(P55-DAY(P55)+32)</f>
        <v>30</v>
      </c>
      <c r="R55" s="24">
        <f>DATE(YEAR(Fristenrechner!J55),MONTH(Fristenrechner!J55)+3,IF(DAY(Fristenrechner!J55)&gt;Q55,Q55,DAY(Fristenrechner!J55)))</f>
        <v>91</v>
      </c>
      <c r="S55" s="24">
        <f ca="1">IF(AND(Fristenrechner!Z55,N55&gt;0),MAX(R55,O55),O55)+SUMIF(FT_FR!$B$3:$L$29,O55,FT_FR!$O$3:$Y$29)</f>
        <v>46203</v>
      </c>
      <c r="T55" s="24">
        <f ca="1">IF(WEEKDAY(S55)=7,S55+2,IF(WEEKDAY(S55)=1,S55+1,S55))</f>
        <v>46203</v>
      </c>
      <c r="U55" s="24">
        <f ca="1">T55+SUMIF(FT_FR!$B$3:$L$29,T55,FT_FR!$O$3:$Y$29)</f>
        <v>46203</v>
      </c>
    </row>
    <row r="56" spans="1:21" x14ac:dyDescent="0.2">
      <c r="B56" s="24">
        <f ca="1">IF(Fristenrechner!H56="Jahresende",DATE(YEAR($D$4),12,31),$D$4)</f>
        <v>46203</v>
      </c>
      <c r="C56" s="29">
        <f ca="1">DATE(YEAR(B56),MONTH(B56)+Fristenrechner!$E56*12+Fristenrechner!$F56,1)</f>
        <v>46174</v>
      </c>
      <c r="D56" s="23">
        <f ca="1">32-DAY(C56-DAY(C56)+32)</f>
        <v>30</v>
      </c>
      <c r="E56" s="24">
        <f ca="1">DATE(YEAR(B56),MONTH(B56)+Fristenrechner!$E56*12+Fristenrechner!$F56,IF(DAY(B56)&gt;D56,D56,DAY(B56)))</f>
        <v>46203</v>
      </c>
      <c r="F56" s="24">
        <f ca="1">E56+Fristenrechner!$G56*7</f>
        <v>46203</v>
      </c>
      <c r="G56" s="24">
        <f ca="1">F56+SUMIF(FT_FR!$B$3:$L$29,F56,FT_FR!$O$3:$Y$29)</f>
        <v>46203</v>
      </c>
      <c r="H56" s="24">
        <f ca="1">IF(WEEKDAY(G56)=7,G56+2,IF(WEEKDAY(G56)=1,G56+1,G56))</f>
        <v>46203</v>
      </c>
      <c r="I56" s="24">
        <f ca="1">H56+SUMIF(FT_FR!$B$3:$L$29,H56,FT_FR!$O$3:$Y$29)</f>
        <v>46203</v>
      </c>
      <c r="J56" s="24">
        <f>Fristenrechner!J56</f>
        <v>0</v>
      </c>
      <c r="K56" s="29">
        <f t="shared" ref="K56:K65" si="2">DATE(YEAR(J56),MONTH(J56)+6,1)</f>
        <v>183</v>
      </c>
      <c r="L56" s="23">
        <f t="shared" ref="L56:L65" si="3">32-DAY(K56-DAY(K56)+32)</f>
        <v>31</v>
      </c>
      <c r="M56" s="24">
        <f t="shared" ref="M56:M65" si="4">DATE(YEAR(J56),MONTH(J56)+6,IF(DAY(J56)&gt;L56,L56,DAY(J56)))</f>
        <v>182</v>
      </c>
      <c r="N56" s="23">
        <f ca="1">IF(AND(Fristenrechner!I56&gt;0,J56&gt;=Fristenrechner!I56,Fristenrechner!I56&lt;=I56),MAX(0,IF(Fristenrechner!AA56,M56,J56)-MAX(IF(Fristenrechner!I56&gt;F56,I56,B56+1),Fristenrechner!I56)+1),0)</f>
        <v>0</v>
      </c>
      <c r="O56" s="24">
        <f ca="1">IF(Fristenrechner!I56&gt;F56,DATE(YEAR(I56),MONTH(I56),DAY(I56)+N56),DATE(YEAR(F56),MONTH(F56),DAY(F56)+N56))</f>
        <v>46203</v>
      </c>
      <c r="P56" s="29">
        <f>DATE(YEAR(Fristenrechner!J56),MONTH(Fristenrechner!J56)+3,1)</f>
        <v>92</v>
      </c>
      <c r="Q56" s="23">
        <f>32-DAY(P56-DAY(P56)+32)</f>
        <v>30</v>
      </c>
      <c r="R56" s="24">
        <f>DATE(YEAR(Fristenrechner!J56),MONTH(Fristenrechner!J56)+3,IF(DAY(Fristenrechner!J56)&gt;Q56,Q56,DAY(Fristenrechner!J56)))</f>
        <v>91</v>
      </c>
      <c r="S56" s="24">
        <f ca="1">IF(AND(Fristenrechner!Z56,N56&gt;0),MAX(R56,O56),O56)+SUMIF(FT_FR!$B$3:$L$29,O56,FT_FR!$O$3:$Y$29)</f>
        <v>46203</v>
      </c>
      <c r="T56" s="24">
        <f ca="1">IF(WEEKDAY(S56)=7,S56+2,IF(WEEKDAY(S56)=1,S56+1,S56))</f>
        <v>46203</v>
      </c>
      <c r="U56" s="24">
        <f ca="1">T56+SUMIF(FT_FR!$B$3:$L$29,T56,FT_FR!$O$3:$Y$29)</f>
        <v>46203</v>
      </c>
    </row>
    <row r="57" spans="1:21" x14ac:dyDescent="0.2">
      <c r="B57" s="24">
        <f ca="1">IF(Fristenrechner!H57="Jahresende",DATE(YEAR($D$4),12,31),$D$4)</f>
        <v>46203</v>
      </c>
      <c r="C57" s="29">
        <f ca="1">DATE(YEAR(B57),MONTH(B57)+Fristenrechner!$E57*12+Fristenrechner!$F57,1)</f>
        <v>46174</v>
      </c>
      <c r="D57" s="23">
        <f ca="1">32-DAY(C57-DAY(C57)+32)</f>
        <v>30</v>
      </c>
      <c r="E57" s="24">
        <f ca="1">DATE(YEAR(B57),MONTH(B57)+Fristenrechner!$E57*12+Fristenrechner!$F57,IF(DAY(B57)&gt;D57,D57,DAY(B57)))</f>
        <v>46203</v>
      </c>
      <c r="F57" s="24">
        <f ca="1">E57+Fristenrechner!$G57*7</f>
        <v>46203</v>
      </c>
      <c r="G57" s="24">
        <f ca="1">F57+SUMIF(FT_FR!$B$3:$L$29,F57,FT_FR!$O$3:$Y$29)</f>
        <v>46203</v>
      </c>
      <c r="H57" s="24">
        <f ca="1">IF(WEEKDAY(G57)=7,G57+2,IF(WEEKDAY(G57)=1,G57+1,G57))</f>
        <v>46203</v>
      </c>
      <c r="I57" s="24">
        <f ca="1">H57+SUMIF(FT_FR!$B$3:$L$29,H57,FT_FR!$O$3:$Y$29)</f>
        <v>46203</v>
      </c>
      <c r="J57" s="24">
        <f>Fristenrechner!J57</f>
        <v>0</v>
      </c>
      <c r="K57" s="29">
        <f t="shared" si="2"/>
        <v>183</v>
      </c>
      <c r="L57" s="23">
        <f t="shared" si="3"/>
        <v>31</v>
      </c>
      <c r="M57" s="24">
        <f t="shared" si="4"/>
        <v>182</v>
      </c>
      <c r="N57" s="23">
        <f ca="1">IF(AND(Fristenrechner!I57&gt;0,J57&gt;=Fristenrechner!I57,Fristenrechner!I57&lt;=I57),MAX(0,IF(Fristenrechner!AA57,M57,J57)-MAX(IF(Fristenrechner!I57&gt;F57,I57,B57+1),Fristenrechner!I57)+1),0)</f>
        <v>0</v>
      </c>
      <c r="O57" s="24">
        <f ca="1">IF(Fristenrechner!I57&gt;F57,DATE(YEAR(I57),MONTH(I57),DAY(I57)+N57),DATE(YEAR(F57),MONTH(F57),DAY(F57)+N57))</f>
        <v>46203</v>
      </c>
      <c r="P57" s="29">
        <f>DATE(YEAR(Fristenrechner!J57),MONTH(Fristenrechner!J57)+3,1)</f>
        <v>92</v>
      </c>
      <c r="Q57" s="23">
        <f>32-DAY(P57-DAY(P57)+32)</f>
        <v>30</v>
      </c>
      <c r="R57" s="24">
        <f>DATE(YEAR(Fristenrechner!J57),MONTH(Fristenrechner!J57)+3,IF(DAY(Fristenrechner!J57)&gt;Q57,Q57,DAY(Fristenrechner!J57)))</f>
        <v>91</v>
      </c>
      <c r="S57" s="24">
        <f ca="1">IF(AND(Fristenrechner!Z57,N57&gt;0),MAX(R57,O57),O57)+SUMIF(FT_FR!$B$3:$L$29,O57,FT_FR!$O$3:$Y$29)</f>
        <v>46203</v>
      </c>
      <c r="T57" s="24">
        <f ca="1">IF(WEEKDAY(S57)=7,S57+2,IF(WEEKDAY(S57)=1,S57+1,S57))</f>
        <v>46203</v>
      </c>
      <c r="U57" s="24">
        <f ca="1">T57+SUMIF(FT_FR!$B$3:$L$29,T57,FT_FR!$O$3:$Y$29)</f>
        <v>46203</v>
      </c>
    </row>
    <row r="58" spans="1:21" x14ac:dyDescent="0.2">
      <c r="B58" s="6"/>
      <c r="C58" s="30"/>
      <c r="N58" s="11"/>
    </row>
    <row r="59" spans="1:21" x14ac:dyDescent="0.2">
      <c r="B59" s="24">
        <f ca="1">IF(Fristenrechner!H59="Jahresende",DATE(YEAR($D$4),12,31),$D$4)</f>
        <v>46387</v>
      </c>
      <c r="C59" s="29">
        <f ca="1">DATE(YEAR(B59),MONTH(B59)+Fristenrechner!$E59*12+Fristenrechner!$F59,1)</f>
        <v>47453</v>
      </c>
      <c r="D59" s="23">
        <f ca="1">32-DAY(C59-DAY(C59)+32)</f>
        <v>31</v>
      </c>
      <c r="E59" s="24">
        <f ca="1">DATE(YEAR(B59),MONTH(B59)+Fristenrechner!$E59*12+Fristenrechner!$F59,IF(DAY(B59)&gt;D59,D59,DAY(B59)))</f>
        <v>47483</v>
      </c>
      <c r="F59" s="24">
        <f ca="1">E59+Fristenrechner!$G59*7</f>
        <v>47483</v>
      </c>
      <c r="G59" s="24">
        <f ca="1">F59+SUMIF(FT_FR!$B$3:$L$29,F59,FT_FR!$O$3:$Y$29)</f>
        <v>47483</v>
      </c>
      <c r="H59" s="24">
        <f ca="1">IF(WEEKDAY(G59)=7,G59+2,IF(WEEKDAY(G59)=1,G59+1,G59))</f>
        <v>47483</v>
      </c>
      <c r="I59" s="24">
        <f ca="1">H59+SUMIF(FT_FR!$B$3:$L$29,H59,FT_FR!$O$3:$Y$29)</f>
        <v>47483</v>
      </c>
      <c r="J59" s="24">
        <f>Fristenrechner!J59</f>
        <v>0</v>
      </c>
      <c r="K59" s="29">
        <f t="shared" si="2"/>
        <v>183</v>
      </c>
      <c r="L59" s="23">
        <f t="shared" si="3"/>
        <v>31</v>
      </c>
      <c r="M59" s="24">
        <f t="shared" si="4"/>
        <v>182</v>
      </c>
      <c r="N59" s="23">
        <f ca="1">IF(AND(Fristenrechner!I59&gt;0,J59&gt;=Fristenrechner!I59,Fristenrechner!I59&lt;=I59),MAX(0,IF(Fristenrechner!AA59,M59,J59)-MAX(IF(Fristenrechner!I59&gt;F59,I59,B59+1),Fristenrechner!I59)+1),0)</f>
        <v>0</v>
      </c>
      <c r="O59" s="24">
        <f ca="1">IF(Fristenrechner!I59&gt;F59,DATE(YEAR(I59),MONTH(I59),DAY(I59)+N59),DATE(YEAR(F59),MONTH(F59),DAY(F59)+N59))</f>
        <v>47483</v>
      </c>
      <c r="P59" s="29">
        <f>DATE(YEAR(Fristenrechner!J59),MONTH(Fristenrechner!J59)+3,1)</f>
        <v>92</v>
      </c>
      <c r="Q59" s="23">
        <f>32-DAY(P59-DAY(P59)+32)</f>
        <v>30</v>
      </c>
      <c r="R59" s="24">
        <f>DATE(YEAR(Fristenrechner!J59),MONTH(Fristenrechner!J59)+3,IF(DAY(Fristenrechner!J59)&gt;Q59,Q59,DAY(Fristenrechner!J59)))</f>
        <v>91</v>
      </c>
      <c r="S59" s="24">
        <f ca="1">IF(AND(Fristenrechner!Z59,N59&gt;0),MAX(R59,O59),O59)+SUMIF(FT_FR!$B$3:$L$29,O59,FT_FR!$O$3:$Y$29)</f>
        <v>47483</v>
      </c>
      <c r="T59" s="24">
        <f ca="1">IF(WEEKDAY(S59)=7,S59+2,IF(WEEKDAY(S59)=1,S59+1,S59))</f>
        <v>47483</v>
      </c>
      <c r="U59" s="24">
        <f ca="1">T59+SUMIF(FT_FR!$B$3:$L$29,T59,FT_FR!$O$3:$Y$29)</f>
        <v>47483</v>
      </c>
    </row>
    <row r="60" spans="1:21" x14ac:dyDescent="0.2">
      <c r="B60" s="24">
        <f ca="1">IF(Fristenrechner!H60="Jahresende",DATE(YEAR($D$4),12,31),$D$4)</f>
        <v>46203</v>
      </c>
      <c r="C60" s="29">
        <f ca="1">DATE(YEAR(B60),MONTH(B60)+Fristenrechner!$E60*12+Fristenrechner!$F60,1)</f>
        <v>49827</v>
      </c>
      <c r="D60" s="23">
        <f ca="1">32-DAY(C60-DAY(C60)+32)</f>
        <v>30</v>
      </c>
      <c r="E60" s="24">
        <f ca="1">DATE(YEAR(B60),MONTH(B60)+Fristenrechner!$E60*12+Fristenrechner!$F60,IF(DAY(B60)&gt;D60,D60,DAY(B60)))</f>
        <v>49856</v>
      </c>
      <c r="F60" s="24">
        <f ca="1">E60+Fristenrechner!$G60*7</f>
        <v>49856</v>
      </c>
      <c r="G60" s="24">
        <f ca="1">F60+SUMIF(FT_FR!$B$3:$L$29,F60,FT_FR!$O$3:$Y$29)</f>
        <v>49856</v>
      </c>
      <c r="H60" s="24">
        <f ca="1">IF(WEEKDAY(G60)=7,G60+2,IF(WEEKDAY(G60)=1,G60+1,G60))</f>
        <v>49856</v>
      </c>
      <c r="I60" s="24">
        <f ca="1">H60+SUMIF(FT_FR!$B$3:$L$29,H60,FT_FR!$O$3:$Y$29)</f>
        <v>49856</v>
      </c>
      <c r="J60" s="24">
        <f>Fristenrechner!J60</f>
        <v>0</v>
      </c>
      <c r="K60" s="29">
        <f t="shared" si="2"/>
        <v>183</v>
      </c>
      <c r="L60" s="23">
        <f t="shared" si="3"/>
        <v>31</v>
      </c>
      <c r="M60" s="24">
        <f t="shared" si="4"/>
        <v>182</v>
      </c>
      <c r="N60" s="23">
        <f ca="1">IF(AND(Fristenrechner!I60&gt;0,J60&gt;=Fristenrechner!I60,Fristenrechner!I60&lt;=I60),MAX(0,IF(Fristenrechner!AA60,M60,J60)-MAX(IF(Fristenrechner!I60&gt;F60,I60,B60+1),Fristenrechner!I60)+1),0)</f>
        <v>0</v>
      </c>
      <c r="O60" s="24">
        <f ca="1">IF(Fristenrechner!I60&gt;F60,DATE(YEAR(I60),MONTH(I60),DAY(I60)+N60),DATE(YEAR(F60),MONTH(F60),DAY(F60)+N60))</f>
        <v>49856</v>
      </c>
      <c r="P60" s="29">
        <f>DATE(YEAR(Fristenrechner!J60),MONTH(Fristenrechner!J60)+3,1)</f>
        <v>92</v>
      </c>
      <c r="Q60" s="23">
        <f>32-DAY(P60-DAY(P60)+32)</f>
        <v>30</v>
      </c>
      <c r="R60" s="24">
        <f>DATE(YEAR(Fristenrechner!J60),MONTH(Fristenrechner!J60)+3,IF(DAY(Fristenrechner!J60)&gt;Q60,Q60,DAY(Fristenrechner!J60)))</f>
        <v>91</v>
      </c>
      <c r="S60" s="24">
        <f ca="1">IF(AND(Fristenrechner!Z60,N60&gt;0),MAX(R60,O60),O60)+SUMIF(FT_FR!$B$3:$L$29,O60,FT_FR!$O$3:$Y$29)</f>
        <v>49856</v>
      </c>
      <c r="T60" s="24">
        <f ca="1">IF(WEEKDAY(S60)=7,S60+2,IF(WEEKDAY(S60)=1,S60+1,S60))</f>
        <v>49856</v>
      </c>
      <c r="U60" s="24">
        <f ca="1">T60+SUMIF(FT_FR!$B$3:$L$29,T60,FT_FR!$O$3:$Y$29)</f>
        <v>49856</v>
      </c>
    </row>
    <row r="61" spans="1:21" x14ac:dyDescent="0.2">
      <c r="B61" s="24">
        <f ca="1">IF(Fristenrechner!H61="Jahresende",DATE(YEAR($D$4),12,31),$D$4)</f>
        <v>46203</v>
      </c>
      <c r="C61" s="29">
        <f ca="1">DATE(YEAR(B61),MONTH(B61)+Fristenrechner!$E61*12+Fristenrechner!$F61,1)</f>
        <v>57132</v>
      </c>
      <c r="D61" s="23">
        <f ca="1">32-DAY(C61-DAY(C61)+32)</f>
        <v>30</v>
      </c>
      <c r="E61" s="24">
        <f ca="1">DATE(YEAR(B61),MONTH(B61)+Fristenrechner!$E61*12+Fristenrechner!$F61,IF(DAY(B61)&gt;D61,D61,DAY(B61)))</f>
        <v>57161</v>
      </c>
      <c r="F61" s="24">
        <f ca="1">E61+Fristenrechner!$G61*7</f>
        <v>57161</v>
      </c>
      <c r="G61" s="24">
        <f ca="1">F61+SUMIF(FT_FR!$B$3:$L$29,F61,FT_FR!$O$3:$Y$29)</f>
        <v>57161</v>
      </c>
      <c r="H61" s="24">
        <f ca="1">IF(WEEKDAY(G61)=7,G61+2,IF(WEEKDAY(G61)=1,G61+1,G61))</f>
        <v>57161</v>
      </c>
      <c r="I61" s="24">
        <f ca="1">H61+SUMIF(FT_FR!$B$3:$L$29,H61,FT_FR!$O$3:$Y$29)</f>
        <v>57161</v>
      </c>
      <c r="J61" s="24">
        <f>Fristenrechner!J61</f>
        <v>0</v>
      </c>
      <c r="K61" s="29">
        <f t="shared" si="2"/>
        <v>183</v>
      </c>
      <c r="L61" s="23">
        <f t="shared" si="3"/>
        <v>31</v>
      </c>
      <c r="M61" s="24">
        <f t="shared" si="4"/>
        <v>182</v>
      </c>
      <c r="N61" s="23">
        <f ca="1">IF(AND(Fristenrechner!I61&gt;0,J61&gt;=Fristenrechner!I61,Fristenrechner!I61&lt;=I61),MAX(0,IF(Fristenrechner!AA61,M61,J61)-MAX(IF(Fristenrechner!I61&gt;F61,I61,B61+1),Fristenrechner!I61)+1),0)</f>
        <v>0</v>
      </c>
      <c r="O61" s="24">
        <f ca="1">IF(Fristenrechner!I61&gt;F61,DATE(YEAR(I61),MONTH(I61),DAY(I61)+N61),DATE(YEAR(F61),MONTH(F61),DAY(F61)+N61))</f>
        <v>57161</v>
      </c>
      <c r="P61" s="29">
        <f>DATE(YEAR(Fristenrechner!J61),MONTH(Fristenrechner!J61)+3,1)</f>
        <v>92</v>
      </c>
      <c r="Q61" s="23">
        <f>32-DAY(P61-DAY(P61)+32)</f>
        <v>30</v>
      </c>
      <c r="R61" s="24">
        <f>DATE(YEAR(Fristenrechner!J61),MONTH(Fristenrechner!J61)+3,IF(DAY(Fristenrechner!J61)&gt;Q61,Q61,DAY(Fristenrechner!J61)))</f>
        <v>91</v>
      </c>
      <c r="S61" s="24">
        <f ca="1">IF(AND(Fristenrechner!Z61,N61&gt;0),MAX(R61,O61),O61)+SUMIF(FT_FR!$B$3:$L$29,O61,FT_FR!$O$3:$Y$29)</f>
        <v>57161</v>
      </c>
      <c r="T61" s="24">
        <f ca="1">IF(WEEKDAY(S61)=7,S61+2,IF(WEEKDAY(S61)=1,S61+1,S61))</f>
        <v>57161</v>
      </c>
      <c r="U61" s="24">
        <f ca="1">T61+SUMIF(FT_FR!$B$3:$L$29,T61,FT_FR!$O$3:$Y$29)</f>
        <v>57161</v>
      </c>
    </row>
    <row r="62" spans="1:21" x14ac:dyDescent="0.2">
      <c r="B62" s="24">
        <f ca="1">IF(Fristenrechner!H62="Jahresende",DATE(YEAR($D$4),12,31),$D$4)</f>
        <v>46203</v>
      </c>
      <c r="C62" s="29">
        <f ca="1">DATE(YEAR(B62),MONTH(B62)+Fristenrechner!$E62*12+Fristenrechner!$F62,1)</f>
        <v>57132</v>
      </c>
      <c r="D62" s="23">
        <f ca="1">32-DAY(C62-DAY(C62)+32)</f>
        <v>30</v>
      </c>
      <c r="E62" s="24">
        <f ca="1">DATE(YEAR(B62),MONTH(B62)+Fristenrechner!$E62*12+Fristenrechner!$F62,IF(DAY(B62)&gt;D62,D62,DAY(B62)))</f>
        <v>57161</v>
      </c>
      <c r="F62" s="24">
        <f ca="1">E62+Fristenrechner!$G62*7</f>
        <v>57161</v>
      </c>
      <c r="G62" s="24">
        <f ca="1">F62+SUMIF(FT_FR!$B$3:$L$29,F62,FT_FR!$O$3:$Y$29)</f>
        <v>57161</v>
      </c>
      <c r="H62" s="24">
        <f ca="1">IF(WEEKDAY(G62)=7,G62+2,IF(WEEKDAY(G62)=1,G62+1,G62))</f>
        <v>57161</v>
      </c>
      <c r="I62" s="24">
        <f ca="1">H62+SUMIF(FT_FR!$B$3:$L$29,H62,FT_FR!$O$3:$Y$29)</f>
        <v>57161</v>
      </c>
      <c r="J62" s="24">
        <f>Fristenrechner!J62</f>
        <v>0</v>
      </c>
      <c r="K62" s="29">
        <f t="shared" si="2"/>
        <v>183</v>
      </c>
      <c r="L62" s="23">
        <f t="shared" si="3"/>
        <v>31</v>
      </c>
      <c r="M62" s="24">
        <f t="shared" si="4"/>
        <v>182</v>
      </c>
      <c r="N62" s="23">
        <f ca="1">IF(AND(Fristenrechner!I62&gt;0,J62&gt;=Fristenrechner!I62,Fristenrechner!I62&lt;=I62),MAX(0,IF(Fristenrechner!AA62,M62,J62)-MAX(IF(Fristenrechner!I62&gt;F62,I62,B62+1),Fristenrechner!I62)+1),0)</f>
        <v>0</v>
      </c>
      <c r="O62" s="24">
        <f ca="1">IF(Fristenrechner!I62&gt;F62,DATE(YEAR(I62),MONTH(I62),DAY(I62)+N62),DATE(YEAR(F62),MONTH(F62),DAY(F62)+N62))</f>
        <v>57161</v>
      </c>
      <c r="P62" s="29">
        <f>DATE(YEAR(Fristenrechner!J62),MONTH(Fristenrechner!J62)+3,1)</f>
        <v>92</v>
      </c>
      <c r="Q62" s="23">
        <f>32-DAY(P62-DAY(P62)+32)</f>
        <v>30</v>
      </c>
      <c r="R62" s="24">
        <f>DATE(YEAR(Fristenrechner!J62),MONTH(Fristenrechner!J62)+3,IF(DAY(Fristenrechner!J62)&gt;Q62,Q62,DAY(Fristenrechner!J62)))</f>
        <v>91</v>
      </c>
      <c r="S62" s="24">
        <f ca="1">IF(AND(Fristenrechner!Z62,N62&gt;0),MAX(R62,O62),O62)+SUMIF(FT_FR!$B$3:$L$29,O62,FT_FR!$O$3:$Y$29)</f>
        <v>57161</v>
      </c>
      <c r="T62" s="24">
        <f ca="1">IF(WEEKDAY(S62)=7,S62+2,IF(WEEKDAY(S62)=1,S62+1,S62))</f>
        <v>57161</v>
      </c>
      <c r="U62" s="24">
        <f ca="1">T62+SUMIF(FT_FR!$B$3:$L$29,T62,FT_FR!$O$3:$Y$29)</f>
        <v>57161</v>
      </c>
    </row>
    <row r="63" spans="1:21" x14ac:dyDescent="0.2">
      <c r="B63" s="6"/>
      <c r="C63" s="30"/>
      <c r="D63" s="11"/>
      <c r="E63" s="6"/>
      <c r="N63" s="11"/>
      <c r="O63" s="6"/>
      <c r="P63" s="6"/>
      <c r="Q63" s="6"/>
      <c r="R63" s="6"/>
      <c r="S63" s="6"/>
      <c r="T63" s="6"/>
      <c r="U63" s="6"/>
    </row>
    <row r="64" spans="1:21" x14ac:dyDescent="0.2">
      <c r="B64" s="24">
        <f ca="1">IF(Fristenrechner!H64="Jahresende",DATE(YEAR($D$4),12,31),$D$4)</f>
        <v>46203</v>
      </c>
      <c r="C64" s="29">
        <f ca="1">DATE(YEAR(B64),MONTH(B64)+Fristenrechner!$E64*12+Fristenrechner!$F64,1)</f>
        <v>46905</v>
      </c>
      <c r="D64" s="23">
        <f ca="1">32-DAY(C64-DAY(C64)+32)</f>
        <v>30</v>
      </c>
      <c r="E64" s="24">
        <f ca="1">DATE(YEAR(B64),MONTH(B64)+Fristenrechner!$E64*12+Fristenrechner!$F64,IF(DAY(B64)&gt;D64,D64,DAY(B64)))</f>
        <v>46934</v>
      </c>
      <c r="F64" s="24">
        <f ca="1">E64+Fristenrechner!$G64*7</f>
        <v>46934</v>
      </c>
      <c r="G64" s="24">
        <f ca="1">F64+SUMIF(FT_FR!$B$3:$L$29,F64,FT_FR!$O$3:$Y$29)</f>
        <v>46934</v>
      </c>
      <c r="H64" s="24">
        <f ca="1">IF(WEEKDAY(G64)=7,G64+2,IF(WEEKDAY(G64)=1,G64+1,G64))</f>
        <v>46934</v>
      </c>
      <c r="I64" s="24">
        <f ca="1">H64+SUMIF(FT_FR!$B$3:$L$29,H64,FT_FR!$O$3:$Y$29)</f>
        <v>46934</v>
      </c>
      <c r="J64" s="24">
        <f>Fristenrechner!J64</f>
        <v>0</v>
      </c>
      <c r="K64" s="29">
        <f t="shared" si="2"/>
        <v>183</v>
      </c>
      <c r="L64" s="23">
        <f t="shared" si="3"/>
        <v>31</v>
      </c>
      <c r="M64" s="24">
        <f t="shared" si="4"/>
        <v>182</v>
      </c>
      <c r="N64" s="23">
        <f ca="1">IF(AND(Fristenrechner!I64&gt;0,J64&gt;=Fristenrechner!I64,Fristenrechner!I64&lt;=I64),MAX(0,IF(Fristenrechner!AA64,M64,J64)-MAX(IF(Fristenrechner!I64&gt;F64,I64,B64+1),Fristenrechner!I64)+1),0)</f>
        <v>0</v>
      </c>
      <c r="O64" s="24">
        <f ca="1">IF(Fristenrechner!I64&gt;F64,DATE(YEAR(I64),MONTH(I64),DAY(I64)+N64),DATE(YEAR(F64),MONTH(F64),DAY(F64)+N64))</f>
        <v>46934</v>
      </c>
      <c r="P64" s="29">
        <f>DATE(YEAR(Fristenrechner!J64),MONTH(Fristenrechner!J64)+3,1)</f>
        <v>92</v>
      </c>
      <c r="Q64" s="23">
        <f>32-DAY(P64-DAY(P64)+32)</f>
        <v>30</v>
      </c>
      <c r="R64" s="24">
        <f>DATE(YEAR(Fristenrechner!J64),MONTH(Fristenrechner!J64)+3,IF(DAY(Fristenrechner!J64)&gt;Q64,Q64,DAY(Fristenrechner!J64)))</f>
        <v>91</v>
      </c>
      <c r="S64" s="24">
        <f ca="1">IF(AND(Fristenrechner!Z64,N64&gt;0),MAX(R64,O64),O64)+SUMIF(FT_FR!$B$3:$L$29,O64,FT_FR!$O$3:$Y$29)</f>
        <v>46934</v>
      </c>
      <c r="T64" s="24">
        <f ca="1">IF(WEEKDAY(S64)=7,S64+2,IF(WEEKDAY(S64)=1,S64+1,S64))</f>
        <v>46934</v>
      </c>
      <c r="U64" s="24">
        <f ca="1">T64+SUMIF(FT_FR!$B$3:$L$29,T64,FT_FR!$O$3:$Y$29)</f>
        <v>46934</v>
      </c>
    </row>
    <row r="65" spans="1:21" x14ac:dyDescent="0.2">
      <c r="B65" s="24">
        <f ca="1">IF(Fristenrechner!H65="Jahresende",DATE(YEAR($D$4),12,31),$D$4)</f>
        <v>46203</v>
      </c>
      <c r="C65" s="29">
        <f ca="1">DATE(YEAR(B65),MONTH(B65)+Fristenrechner!$E65*12+Fristenrechner!$F65,1)</f>
        <v>48000</v>
      </c>
      <c r="D65" s="23">
        <f ca="1">32-DAY(C65-DAY(C65)+32)</f>
        <v>30</v>
      </c>
      <c r="E65" s="24">
        <f ca="1">DATE(YEAR(B65),MONTH(B65)+Fristenrechner!$E65*12+Fristenrechner!$F65,IF(DAY(B65)&gt;D65,D65,DAY(B65)))</f>
        <v>48029</v>
      </c>
      <c r="F65" s="24">
        <f ca="1">E65+Fristenrechner!$G65*7</f>
        <v>48029</v>
      </c>
      <c r="G65" s="24">
        <f ca="1">F65+SUMIF(FT_FR!$B$3:$L$29,F65,FT_FR!$O$3:$Y$29)</f>
        <v>48029</v>
      </c>
      <c r="H65" s="24">
        <f ca="1">IF(WEEKDAY(G65)=7,G65+2,IF(WEEKDAY(G65)=1,G65+1,G65))</f>
        <v>48029</v>
      </c>
      <c r="I65" s="24">
        <f ca="1">H65+SUMIF(FT_FR!$B$3:$L$29,H65,FT_FR!$O$3:$Y$29)</f>
        <v>48029</v>
      </c>
      <c r="J65" s="24">
        <f>Fristenrechner!J65</f>
        <v>0</v>
      </c>
      <c r="K65" s="29">
        <f t="shared" si="2"/>
        <v>183</v>
      </c>
      <c r="L65" s="23">
        <f t="shared" si="3"/>
        <v>31</v>
      </c>
      <c r="M65" s="24">
        <f t="shared" si="4"/>
        <v>182</v>
      </c>
      <c r="N65" s="23">
        <f ca="1">IF(AND(Fristenrechner!I65&gt;0,J65&gt;=Fristenrechner!I65,Fristenrechner!I65&lt;=I65),MAX(0,IF(Fristenrechner!AA65,M65,J65)-MAX(IF(Fristenrechner!I65&gt;F65,I65,B65+1),Fristenrechner!I65)+1),0)</f>
        <v>0</v>
      </c>
      <c r="O65" s="24">
        <f ca="1">IF(Fristenrechner!I65&gt;F65,DATE(YEAR(I65),MONTH(I65),DAY(I65)+N65),DATE(YEAR(F65),MONTH(F65),DAY(F65)+N65))</f>
        <v>48029</v>
      </c>
      <c r="P65" s="29">
        <f>DATE(YEAR(Fristenrechner!J65),MONTH(Fristenrechner!J65)+3,1)</f>
        <v>92</v>
      </c>
      <c r="Q65" s="23">
        <f>32-DAY(P65-DAY(P65)+32)</f>
        <v>30</v>
      </c>
      <c r="R65" s="24">
        <f>DATE(YEAR(Fristenrechner!J65),MONTH(Fristenrechner!J65)+3,IF(DAY(Fristenrechner!J65)&gt;Q65,Q65,DAY(Fristenrechner!J65)))</f>
        <v>91</v>
      </c>
      <c r="S65" s="24">
        <f ca="1">IF(AND(Fristenrechner!Z65,N65&gt;0),MAX(R65,O65),O65)+SUMIF(FT_FR!$B$3:$L$29,O65,FT_FR!$O$3:$Y$29)</f>
        <v>48029</v>
      </c>
      <c r="T65" s="24">
        <f ca="1">IF(WEEKDAY(S65)=7,S65+2,IF(WEEKDAY(S65)=1,S65+1,S65))</f>
        <v>48029</v>
      </c>
      <c r="U65" s="24">
        <f ca="1">T65+SUMIF(FT_FR!$B$3:$L$29,T65,FT_FR!$O$3:$Y$29)</f>
        <v>48029</v>
      </c>
    </row>
    <row r="67" spans="1:21" x14ac:dyDescent="0.2">
      <c r="A67" s="1" t="s">
        <v>578</v>
      </c>
      <c r="B67" s="2" t="s">
        <v>270</v>
      </c>
      <c r="C67" s="8" t="s">
        <v>271</v>
      </c>
      <c r="D67" s="8" t="s">
        <v>282</v>
      </c>
      <c r="E67" s="8" t="s">
        <v>273</v>
      </c>
      <c r="F67" s="8" t="s">
        <v>274</v>
      </c>
      <c r="G67" s="8" t="s">
        <v>275</v>
      </c>
      <c r="H67" s="8" t="s">
        <v>274</v>
      </c>
      <c r="I67" s="2" t="s">
        <v>579</v>
      </c>
    </row>
    <row r="69" spans="1:21" x14ac:dyDescent="0.2">
      <c r="B69" s="29">
        <f ca="1">DATE(YEAR($D$4),MONTH($D$4)+Fristenrechner!$C69*12+Fristenrechner!$D69,1)</f>
        <v>46174</v>
      </c>
      <c r="C69" s="23">
        <f ca="1">32-DAY(B69-DAY(B69)+32)</f>
        <v>30</v>
      </c>
      <c r="D69" s="24">
        <f ca="1">DATE(YEAR($D$4),MONTH($D$4)+Fristenrechner!$C69*12+Fristenrechner!$D69,IF(DAY($D$4)&gt;C69,C69,DAY($D$4)))</f>
        <v>46203</v>
      </c>
      <c r="E69" s="24">
        <f ca="1">D69+Fristenrechner!$E69*7+Fristenrechner!$F69</f>
        <v>46203</v>
      </c>
      <c r="F69" s="24">
        <f ca="1">E69+SUMIF(FT_FR!$B$3:$L$29,E69,FT_FR!$O$3:$Y$29)</f>
        <v>46203</v>
      </c>
      <c r="G69" s="24">
        <f ca="1">IF(WEEKDAY(F69)=7,F69+2,IF(WEEKDAY(F69)=1,F69+1,F69))</f>
        <v>46203</v>
      </c>
      <c r="H69" s="24">
        <f ca="1">G69+SUMIF(FT_FR!$B$3:$L$29,G69,FT_FR!$O$3:$Y$29)</f>
        <v>46203</v>
      </c>
      <c r="I69" s="24">
        <f ca="1">IF(Fristenrechner!Z69,H69,E69)</f>
        <v>46203</v>
      </c>
      <c r="J69" s="24"/>
      <c r="K69" s="24"/>
      <c r="L69" s="24"/>
      <c r="M69" s="24"/>
    </row>
    <row r="70" spans="1:21" x14ac:dyDescent="0.2">
      <c r="B70" s="29">
        <f ca="1">DATE(YEAR($D$4),MONTH($D$4)+Fristenrechner!$C70*12+Fristenrechner!$D70,1)</f>
        <v>46174</v>
      </c>
      <c r="C70" s="23">
        <f ca="1">32-DAY(B70-DAY(B70)+32)</f>
        <v>30</v>
      </c>
      <c r="D70" s="24">
        <f ca="1">DATE(YEAR($D$4),MONTH($D$4)+Fristenrechner!$C70*12+Fristenrechner!$D70,IF(DAY($D$4)&gt;C70,C70,DAY($D$4)))</f>
        <v>46203</v>
      </c>
      <c r="E70" s="24">
        <f ca="1">D70+Fristenrechner!$E70*7+Fristenrechner!$F70</f>
        <v>46203</v>
      </c>
      <c r="F70" s="24">
        <f ca="1">E70+SUMIF(FT_FR!$B$3:$L$29,E70,FT_FR!$O$3:$Y$29)</f>
        <v>46203</v>
      </c>
      <c r="G70" s="24">
        <f ca="1">IF(WEEKDAY(F70)=7,F70+2,IF(WEEKDAY(F70)=1,F70+1,F70))</f>
        <v>46203</v>
      </c>
      <c r="H70" s="24">
        <f ca="1">G70+SUMIF(FT_FR!$B$3:$L$29,G70,FT_FR!$O$3:$Y$29)</f>
        <v>46203</v>
      </c>
      <c r="I70" s="24">
        <f ca="1">IF(Fristenrechner!Z70,H70,E70)</f>
        <v>46203</v>
      </c>
      <c r="J70" s="24"/>
      <c r="K70" s="24"/>
      <c r="L70" s="24"/>
      <c r="M70" s="24"/>
    </row>
    <row r="71" spans="1:21" x14ac:dyDescent="0.2">
      <c r="B71" s="29">
        <f ca="1">DATE(YEAR($D$4),MONTH($D$4)+Fristenrechner!$C71*12+Fristenrechner!$D71,1)</f>
        <v>46174</v>
      </c>
      <c r="C71" s="23">
        <f ca="1">32-DAY(B71-DAY(B71)+32)</f>
        <v>30</v>
      </c>
      <c r="D71" s="24">
        <f ca="1">DATE(YEAR($D$4),MONTH($D$4)+Fristenrechner!$C71*12+Fristenrechner!$D71,IF(DAY($D$4)&gt;C71,C71,DAY($D$4)))</f>
        <v>46203</v>
      </c>
      <c r="E71" s="24">
        <f ca="1">D71+Fristenrechner!$E71*7+Fristenrechner!$F71</f>
        <v>46203</v>
      </c>
      <c r="F71" s="24">
        <f ca="1">E71+SUMIF(FT_FR!$B$3:$L$29,E71,FT_FR!$O$3:$Y$29)</f>
        <v>46203</v>
      </c>
      <c r="G71" s="24">
        <f ca="1">IF(WEEKDAY(F71)=7,F71+2,IF(WEEKDAY(F71)=1,F71+1,F71))</f>
        <v>46203</v>
      </c>
      <c r="H71" s="24">
        <f ca="1">G71+SUMIF(FT_FR!$B$3:$L$29,G71,FT_FR!$O$3:$Y$29)</f>
        <v>46203</v>
      </c>
      <c r="I71" s="24">
        <f ca="1">IF(Fristenrechner!Z71,H71,E71)</f>
        <v>46203</v>
      </c>
      <c r="J71" s="24"/>
      <c r="K71" s="24"/>
      <c r="L71" s="24"/>
      <c r="M71" s="24"/>
    </row>
    <row r="72" spans="1:21" x14ac:dyDescent="0.2">
      <c r="B72" s="30"/>
    </row>
    <row r="73" spans="1:21" x14ac:dyDescent="0.2">
      <c r="B73" s="29">
        <f ca="1">DATE(YEAR($D$4),MONTH($D$4)+Fristenrechner!$C73*12+Fristenrechner!$D73,1)</f>
        <v>46174</v>
      </c>
      <c r="C73" s="23">
        <f ca="1">32-DAY(B73-DAY(B73)+32)</f>
        <v>30</v>
      </c>
      <c r="D73" s="24">
        <f ca="1">DATE(YEAR($D$4),MONTH($D$4)+Fristenrechner!$C73*12+Fristenrechner!$D73,IF(DAY($D$4)&gt;C73,C73,DAY($D$4)))</f>
        <v>46203</v>
      </c>
      <c r="E73" s="24">
        <f ca="1">D73+Fristenrechner!$E73*7+Fristenrechner!$F73</f>
        <v>46233</v>
      </c>
      <c r="F73" s="24">
        <f ca="1">E73+SUMIF(FT_FR!$B$3:$L$29,E73,FT_FR!$O$3:$Y$29)</f>
        <v>46233</v>
      </c>
      <c r="G73" s="24">
        <f ca="1">IF(WEEKDAY(F73)=7,F73+2,IF(WEEKDAY(F73)=1,F73+1,F73))</f>
        <v>46233</v>
      </c>
      <c r="H73" s="24">
        <f ca="1">G73+SUMIF(FT_FR!$B$3:$L$29,G73,FT_FR!$O$3:$Y$29)</f>
        <v>46233</v>
      </c>
      <c r="I73" s="24">
        <f ca="1">IF(Fristenrechner!Z73,H73,E73)</f>
        <v>46233</v>
      </c>
      <c r="J73" s="24"/>
      <c r="K73" s="24"/>
      <c r="L73" s="24"/>
      <c r="M73" s="24"/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verticalDpi="59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4"/>
  <dimension ref="A1:AV29"/>
  <sheetViews>
    <sheetView workbookViewId="0"/>
  </sheetViews>
  <sheetFormatPr baseColWidth="10" defaultColWidth="11.42578125" defaultRowHeight="12.75" x14ac:dyDescent="0.2"/>
  <cols>
    <col min="1" max="1" width="19.28515625" style="2" customWidth="1"/>
    <col min="2" max="12" width="6.28515625" style="2" customWidth="1"/>
    <col min="13" max="13" width="3.7109375" style="2" customWidth="1"/>
    <col min="14" max="14" width="4.7109375" style="2" customWidth="1"/>
    <col min="15" max="25" width="2.28515625" style="2" customWidth="1"/>
    <col min="26" max="26" width="3.7109375" style="2" customWidth="1"/>
    <col min="27" max="38" width="2.28515625" style="2" customWidth="1"/>
    <col min="39" max="16384" width="11.42578125" style="2"/>
  </cols>
  <sheetData>
    <row r="1" spans="1:48" x14ac:dyDescent="0.2">
      <c r="A1" s="1" t="s">
        <v>504</v>
      </c>
      <c r="N1" s="1" t="s">
        <v>583</v>
      </c>
    </row>
    <row r="2" spans="1:48" s="4" customFormat="1" x14ac:dyDescent="0.2">
      <c r="A2" s="4" t="s">
        <v>284</v>
      </c>
      <c r="B2" s="4">
        <f ca="1">G2-5</f>
        <v>2021</v>
      </c>
      <c r="C2" s="4">
        <f ca="1">G2-4</f>
        <v>2022</v>
      </c>
      <c r="D2" s="4">
        <f ca="1">G2-3</f>
        <v>2023</v>
      </c>
      <c r="E2" s="4">
        <f ca="1">G2-2</f>
        <v>2024</v>
      </c>
      <c r="F2" s="4">
        <f ca="1">G2-1</f>
        <v>2025</v>
      </c>
      <c r="G2" s="4">
        <f ca="1">YEAR(TODAY())</f>
        <v>2026</v>
      </c>
      <c r="H2" s="4">
        <f ca="1">G2+1</f>
        <v>2027</v>
      </c>
      <c r="I2" s="4">
        <f ca="1">G2+2</f>
        <v>2028</v>
      </c>
      <c r="J2" s="4">
        <f ca="1">G2+3</f>
        <v>2029</v>
      </c>
      <c r="K2" s="4">
        <f ca="1">G2+4</f>
        <v>2030</v>
      </c>
      <c r="L2" s="4">
        <f ca="1">G2+5</f>
        <v>2031</v>
      </c>
      <c r="N2" s="4" t="s">
        <v>584</v>
      </c>
      <c r="Z2" s="4" t="s">
        <v>585</v>
      </c>
      <c r="AM2" s="4" t="s">
        <v>285</v>
      </c>
    </row>
    <row r="3" spans="1:48" x14ac:dyDescent="0.2">
      <c r="A3" s="2" t="s">
        <v>286</v>
      </c>
      <c r="B3" s="13">
        <f ca="1">DATE(B$2,1,1)</f>
        <v>44197</v>
      </c>
      <c r="C3" s="13">
        <f t="shared" ref="C3:L3" ca="1" si="0">DATE(C$2,1,1)</f>
        <v>44562</v>
      </c>
      <c r="D3" s="13">
        <f t="shared" ca="1" si="0"/>
        <v>44927</v>
      </c>
      <c r="E3" s="13">
        <f t="shared" ca="1" si="0"/>
        <v>45292</v>
      </c>
      <c r="F3" s="13">
        <f t="shared" ca="1" si="0"/>
        <v>45658</v>
      </c>
      <c r="G3" s="13">
        <f t="shared" ca="1" si="0"/>
        <v>46023</v>
      </c>
      <c r="H3" s="13">
        <f t="shared" ca="1" si="0"/>
        <v>46388</v>
      </c>
      <c r="I3" s="13">
        <f t="shared" ca="1" si="0"/>
        <v>46753</v>
      </c>
      <c r="J3" s="13">
        <f t="shared" ca="1" si="0"/>
        <v>47119</v>
      </c>
      <c r="K3" s="13">
        <f t="shared" ca="1" si="0"/>
        <v>47484</v>
      </c>
      <c r="L3" s="13">
        <f t="shared" ca="1" si="0"/>
        <v>47849</v>
      </c>
      <c r="N3" s="2">
        <v>1</v>
      </c>
      <c r="O3" s="2">
        <f t="shared" ref="O3:Y16" si="1">$N3</f>
        <v>1</v>
      </c>
      <c r="P3" s="2">
        <f t="shared" si="1"/>
        <v>1</v>
      </c>
      <c r="Q3" s="2">
        <f t="shared" si="1"/>
        <v>1</v>
      </c>
      <c r="R3" s="2">
        <f t="shared" si="1"/>
        <v>1</v>
      </c>
      <c r="S3" s="2">
        <f t="shared" si="1"/>
        <v>1</v>
      </c>
      <c r="T3" s="2">
        <f t="shared" si="1"/>
        <v>1</v>
      </c>
      <c r="U3" s="2">
        <f t="shared" si="1"/>
        <v>1</v>
      </c>
      <c r="V3" s="2">
        <f t="shared" si="1"/>
        <v>1</v>
      </c>
      <c r="W3" s="2">
        <f t="shared" si="1"/>
        <v>1</v>
      </c>
      <c r="X3" s="2">
        <f t="shared" si="1"/>
        <v>1</v>
      </c>
      <c r="Y3" s="2">
        <f t="shared" si="1"/>
        <v>1</v>
      </c>
      <c r="Z3" s="2">
        <v>1</v>
      </c>
      <c r="AA3" s="2">
        <f t="shared" ref="AA3:AA9" si="2">$Z3</f>
        <v>1</v>
      </c>
      <c r="AB3" s="2">
        <f t="shared" ref="AB3:AK4" si="3">$Z3</f>
        <v>1</v>
      </c>
      <c r="AC3" s="2">
        <f t="shared" si="3"/>
        <v>1</v>
      </c>
      <c r="AD3" s="2">
        <f t="shared" si="3"/>
        <v>1</v>
      </c>
      <c r="AE3" s="2">
        <f t="shared" si="3"/>
        <v>1</v>
      </c>
      <c r="AF3" s="2">
        <f t="shared" si="3"/>
        <v>1</v>
      </c>
      <c r="AG3" s="2">
        <f t="shared" si="3"/>
        <v>1</v>
      </c>
      <c r="AH3" s="2">
        <f t="shared" si="3"/>
        <v>1</v>
      </c>
      <c r="AI3" s="2">
        <f t="shared" si="3"/>
        <v>1</v>
      </c>
      <c r="AJ3" s="2">
        <f t="shared" si="3"/>
        <v>1</v>
      </c>
      <c r="AK3" s="2">
        <f t="shared" si="3"/>
        <v>1</v>
      </c>
    </row>
    <row r="4" spans="1:48" x14ac:dyDescent="0.2">
      <c r="A4" s="2" t="s">
        <v>287</v>
      </c>
      <c r="B4" s="13">
        <f ca="1">DATE(B$2,1,6)</f>
        <v>44202</v>
      </c>
      <c r="C4" s="13">
        <f t="shared" ref="C4:L4" ca="1" si="4">DATE(C$2,1,6)</f>
        <v>44567</v>
      </c>
      <c r="D4" s="13">
        <f t="shared" ca="1" si="4"/>
        <v>44932</v>
      </c>
      <c r="E4" s="13">
        <f t="shared" ca="1" si="4"/>
        <v>45297</v>
      </c>
      <c r="F4" s="13">
        <f t="shared" ca="1" si="4"/>
        <v>45663</v>
      </c>
      <c r="G4" s="13">
        <f t="shared" ca="1" si="4"/>
        <v>46028</v>
      </c>
      <c r="H4" s="13">
        <f t="shared" ca="1" si="4"/>
        <v>46393</v>
      </c>
      <c r="I4" s="13">
        <f t="shared" ca="1" si="4"/>
        <v>46758</v>
      </c>
      <c r="J4" s="13">
        <f t="shared" ca="1" si="4"/>
        <v>47124</v>
      </c>
      <c r="K4" s="13">
        <f t="shared" ca="1" si="4"/>
        <v>47489</v>
      </c>
      <c r="L4" s="13">
        <f t="shared" ca="1" si="4"/>
        <v>47854</v>
      </c>
      <c r="N4" s="5">
        <f>COUNTIF($AM4:$AW4,Fristenrechner!$H$5)</f>
        <v>0</v>
      </c>
      <c r="O4" s="2">
        <f t="shared" si="1"/>
        <v>0</v>
      </c>
      <c r="P4" s="2">
        <f t="shared" si="1"/>
        <v>0</v>
      </c>
      <c r="Q4" s="2">
        <f t="shared" si="1"/>
        <v>0</v>
      </c>
      <c r="R4" s="2">
        <f t="shared" si="1"/>
        <v>0</v>
      </c>
      <c r="S4" s="2">
        <f t="shared" si="1"/>
        <v>0</v>
      </c>
      <c r="T4" s="2">
        <f t="shared" si="1"/>
        <v>0</v>
      </c>
      <c r="U4" s="2">
        <f t="shared" si="1"/>
        <v>0</v>
      </c>
      <c r="V4" s="2">
        <f t="shared" si="1"/>
        <v>0</v>
      </c>
      <c r="W4" s="2">
        <f t="shared" si="1"/>
        <v>0</v>
      </c>
      <c r="X4" s="2">
        <f t="shared" si="1"/>
        <v>0</v>
      </c>
      <c r="Y4" s="2">
        <f t="shared" si="1"/>
        <v>0</v>
      </c>
      <c r="Z4" s="5">
        <f>COUNTIF($AM4:$AW4,Fristenrechner!$H$5)</f>
        <v>0</v>
      </c>
      <c r="AA4" s="2">
        <f t="shared" si="2"/>
        <v>0</v>
      </c>
      <c r="AB4" s="2">
        <f t="shared" si="3"/>
        <v>0</v>
      </c>
      <c r="AC4" s="2">
        <f t="shared" si="3"/>
        <v>0</v>
      </c>
      <c r="AD4" s="2">
        <f t="shared" si="3"/>
        <v>0</v>
      </c>
      <c r="AE4" s="2">
        <f t="shared" si="3"/>
        <v>0</v>
      </c>
      <c r="AF4" s="2">
        <f t="shared" si="3"/>
        <v>0</v>
      </c>
      <c r="AG4" s="2">
        <f t="shared" si="3"/>
        <v>0</v>
      </c>
      <c r="AH4" s="2">
        <f t="shared" si="3"/>
        <v>0</v>
      </c>
      <c r="AI4" s="2">
        <f t="shared" si="3"/>
        <v>0</v>
      </c>
      <c r="AJ4" s="2">
        <f t="shared" si="3"/>
        <v>0</v>
      </c>
      <c r="AK4" s="2">
        <f t="shared" si="3"/>
        <v>0</v>
      </c>
      <c r="AM4" s="2" t="s">
        <v>288</v>
      </c>
      <c r="AN4" s="2" t="s">
        <v>289</v>
      </c>
      <c r="AO4" s="2" t="s">
        <v>67</v>
      </c>
      <c r="AP4" s="2" t="s">
        <v>68</v>
      </c>
      <c r="AQ4" s="2" t="s">
        <v>290</v>
      </c>
    </row>
    <row r="5" spans="1:48" x14ac:dyDescent="0.2">
      <c r="A5" s="4" t="s">
        <v>846</v>
      </c>
      <c r="B5" s="13">
        <f ca="1">IF(B$2&gt;=2019,DATE(B$2,3,8),"")</f>
        <v>44263</v>
      </c>
      <c r="C5" s="13">
        <f t="shared" ref="C5:L5" ca="1" si="5">IF(C$2&gt;=2019,DATE(C$2,3,8),"")</f>
        <v>44628</v>
      </c>
      <c r="D5" s="13">
        <f t="shared" ca="1" si="5"/>
        <v>44993</v>
      </c>
      <c r="E5" s="13">
        <f t="shared" ca="1" si="5"/>
        <v>45359</v>
      </c>
      <c r="F5" s="13">
        <f t="shared" ca="1" si="5"/>
        <v>45724</v>
      </c>
      <c r="G5" s="13">
        <f t="shared" ca="1" si="5"/>
        <v>46089</v>
      </c>
      <c r="H5" s="13">
        <f t="shared" ca="1" si="5"/>
        <v>46454</v>
      </c>
      <c r="I5" s="13">
        <f t="shared" ca="1" si="5"/>
        <v>46820</v>
      </c>
      <c r="J5" s="13">
        <f t="shared" ca="1" si="5"/>
        <v>47185</v>
      </c>
      <c r="K5" s="13">
        <f t="shared" ca="1" si="5"/>
        <v>47550</v>
      </c>
      <c r="L5" s="13">
        <f t="shared" ca="1" si="5"/>
        <v>47915</v>
      </c>
      <c r="N5" s="5">
        <f>COUNTIF($AM5:$AW5,Fristenrechner!$H$5)</f>
        <v>1</v>
      </c>
      <c r="O5" s="2">
        <f ca="1">IF(B5="",0,$N5)</f>
        <v>1</v>
      </c>
      <c r="P5" s="2">
        <f t="shared" ref="P5:Y5" ca="1" si="6">IF(C5="",0,$N5)</f>
        <v>1</v>
      </c>
      <c r="Q5" s="2">
        <f t="shared" ca="1" si="6"/>
        <v>1</v>
      </c>
      <c r="R5" s="2">
        <f t="shared" ca="1" si="6"/>
        <v>1</v>
      </c>
      <c r="S5" s="2">
        <f t="shared" ca="1" si="6"/>
        <v>1</v>
      </c>
      <c r="T5" s="2">
        <f t="shared" ca="1" si="6"/>
        <v>1</v>
      </c>
      <c r="U5" s="2">
        <f t="shared" ca="1" si="6"/>
        <v>1</v>
      </c>
      <c r="V5" s="2">
        <f t="shared" ca="1" si="6"/>
        <v>1</v>
      </c>
      <c r="W5" s="2">
        <f t="shared" ca="1" si="6"/>
        <v>1</v>
      </c>
      <c r="X5" s="2">
        <f t="shared" ca="1" si="6"/>
        <v>1</v>
      </c>
      <c r="Y5" s="2">
        <f t="shared" ca="1" si="6"/>
        <v>1</v>
      </c>
      <c r="Z5" s="5">
        <f>COUNTIF($AM5:$AW5,Fristenrechner!$H$5)</f>
        <v>1</v>
      </c>
      <c r="AA5" s="2">
        <f ca="1">IF(B5="",0,$Z5)</f>
        <v>1</v>
      </c>
      <c r="AB5" s="2">
        <f t="shared" ref="AB5:AK5" ca="1" si="7">IF(C5="",0,$Z5)</f>
        <v>1</v>
      </c>
      <c r="AC5" s="2">
        <f t="shared" ca="1" si="7"/>
        <v>1</v>
      </c>
      <c r="AD5" s="2">
        <f t="shared" ca="1" si="7"/>
        <v>1</v>
      </c>
      <c r="AE5" s="2">
        <f t="shared" ca="1" si="7"/>
        <v>1</v>
      </c>
      <c r="AF5" s="2">
        <f t="shared" ca="1" si="7"/>
        <v>1</v>
      </c>
      <c r="AG5" s="2">
        <f t="shared" ca="1" si="7"/>
        <v>1</v>
      </c>
      <c r="AH5" s="2">
        <f t="shared" ca="1" si="7"/>
        <v>1</v>
      </c>
      <c r="AI5" s="2">
        <f t="shared" ca="1" si="7"/>
        <v>1</v>
      </c>
      <c r="AJ5" s="2">
        <f t="shared" ca="1" si="7"/>
        <v>1</v>
      </c>
      <c r="AK5" s="2">
        <f t="shared" ca="1" si="7"/>
        <v>1</v>
      </c>
      <c r="AM5" s="4" t="s">
        <v>201</v>
      </c>
    </row>
    <row r="6" spans="1:48" x14ac:dyDescent="0.2">
      <c r="A6" s="4" t="s">
        <v>846</v>
      </c>
      <c r="B6" s="13" t="str">
        <f ca="1">IF(B$2&gt;=2023,DATE(B$2,3,8),"")</f>
        <v/>
      </c>
      <c r="C6" s="13" t="str">
        <f t="shared" ref="C6:L6" ca="1" si="8">IF(C$2&gt;=2023,DATE(C$2,3,8),"")</f>
        <v/>
      </c>
      <c r="D6" s="13">
        <f t="shared" ca="1" si="8"/>
        <v>44993</v>
      </c>
      <c r="E6" s="13">
        <f t="shared" ca="1" si="8"/>
        <v>45359</v>
      </c>
      <c r="F6" s="13">
        <f t="shared" ca="1" si="8"/>
        <v>45724</v>
      </c>
      <c r="G6" s="13">
        <f t="shared" ca="1" si="8"/>
        <v>46089</v>
      </c>
      <c r="H6" s="13">
        <f t="shared" ca="1" si="8"/>
        <v>46454</v>
      </c>
      <c r="I6" s="13">
        <f t="shared" ca="1" si="8"/>
        <v>46820</v>
      </c>
      <c r="J6" s="13">
        <f t="shared" ca="1" si="8"/>
        <v>47185</v>
      </c>
      <c r="K6" s="13">
        <f t="shared" ca="1" si="8"/>
        <v>47550</v>
      </c>
      <c r="L6" s="13">
        <f t="shared" ca="1" si="8"/>
        <v>47915</v>
      </c>
      <c r="N6" s="5">
        <f>COUNTIF($AM6:$AW6,Fristenrechner!$H$5)</f>
        <v>0</v>
      </c>
      <c r="O6" s="2">
        <f ca="1">IF(B6="",0,$N6)</f>
        <v>0</v>
      </c>
      <c r="P6" s="2">
        <f t="shared" ref="P6" ca="1" si="9">IF(C6="",0,$N6)</f>
        <v>0</v>
      </c>
      <c r="Q6" s="2">
        <f t="shared" ref="Q6" ca="1" si="10">IF(D6="",0,$N6)</f>
        <v>0</v>
      </c>
      <c r="R6" s="2">
        <f t="shared" ref="R6" ca="1" si="11">IF(E6="",0,$N6)</f>
        <v>0</v>
      </c>
      <c r="S6" s="2">
        <f t="shared" ref="S6" ca="1" si="12">IF(F6="",0,$N6)</f>
        <v>0</v>
      </c>
      <c r="T6" s="2">
        <f t="shared" ref="T6" ca="1" si="13">IF(G6="",0,$N6)</f>
        <v>0</v>
      </c>
      <c r="U6" s="2">
        <f t="shared" ref="U6" ca="1" si="14">IF(H6="",0,$N6)</f>
        <v>0</v>
      </c>
      <c r="V6" s="2">
        <f t="shared" ref="V6" ca="1" si="15">IF(I6="",0,$N6)</f>
        <v>0</v>
      </c>
      <c r="W6" s="2">
        <f t="shared" ref="W6" ca="1" si="16">IF(J6="",0,$N6)</f>
        <v>0</v>
      </c>
      <c r="X6" s="2">
        <f t="shared" ref="X6" ca="1" si="17">IF(K6="",0,$N6)</f>
        <v>0</v>
      </c>
      <c r="Y6" s="2">
        <f t="shared" ref="Y6" ca="1" si="18">IF(L6="",0,$N6)</f>
        <v>0</v>
      </c>
      <c r="Z6" s="5">
        <f>COUNTIF($AM6:$AW6,Fristenrechner!$H$5)</f>
        <v>0</v>
      </c>
      <c r="AA6" s="2">
        <f ca="1">IF(B6="",0,$Z6)</f>
        <v>0</v>
      </c>
      <c r="AB6" s="2">
        <f t="shared" ref="AB6" ca="1" si="19">IF(C6="",0,$Z6)</f>
        <v>0</v>
      </c>
      <c r="AC6" s="2">
        <f t="shared" ref="AC6" ca="1" si="20">IF(D6="",0,$Z6)</f>
        <v>0</v>
      </c>
      <c r="AD6" s="2">
        <f t="shared" ref="AD6" ca="1" si="21">IF(E6="",0,$Z6)</f>
        <v>0</v>
      </c>
      <c r="AE6" s="2">
        <f t="shared" ref="AE6" ca="1" si="22">IF(F6="",0,$Z6)</f>
        <v>0</v>
      </c>
      <c r="AF6" s="2">
        <f t="shared" ref="AF6" ca="1" si="23">IF(G6="",0,$Z6)</f>
        <v>0</v>
      </c>
      <c r="AG6" s="2">
        <f t="shared" ref="AG6" ca="1" si="24">IF(H6="",0,$Z6)</f>
        <v>0</v>
      </c>
      <c r="AH6" s="2">
        <f t="shared" ref="AH6" ca="1" si="25">IF(I6="",0,$Z6)</f>
        <v>0</v>
      </c>
      <c r="AI6" s="2">
        <f t="shared" ref="AI6" ca="1" si="26">IF(J6="",0,$Z6)</f>
        <v>0</v>
      </c>
      <c r="AJ6" s="2">
        <f t="shared" ref="AJ6" ca="1" si="27">IF(K6="",0,$Z6)</f>
        <v>0</v>
      </c>
      <c r="AK6" s="2">
        <f t="shared" ref="AK6" ca="1" si="28">IF(L6="",0,$Z6)</f>
        <v>0</v>
      </c>
      <c r="AM6" s="4" t="s">
        <v>306</v>
      </c>
    </row>
    <row r="7" spans="1:48" x14ac:dyDescent="0.2">
      <c r="A7" s="2" t="s">
        <v>291</v>
      </c>
      <c r="B7" s="14">
        <f t="shared" ref="B7:L7" ca="1" si="29">B8-2</f>
        <v>44288</v>
      </c>
      <c r="C7" s="14">
        <f t="shared" ca="1" si="29"/>
        <v>44666</v>
      </c>
      <c r="D7" s="14">
        <f t="shared" ca="1" si="29"/>
        <v>45023</v>
      </c>
      <c r="E7" s="14">
        <f t="shared" ca="1" si="29"/>
        <v>45380</v>
      </c>
      <c r="F7" s="14">
        <f t="shared" ca="1" si="29"/>
        <v>45765</v>
      </c>
      <c r="G7" s="14">
        <f t="shared" ca="1" si="29"/>
        <v>46115</v>
      </c>
      <c r="H7" s="14">
        <f t="shared" ca="1" si="29"/>
        <v>46472</v>
      </c>
      <c r="I7" s="14">
        <f t="shared" ca="1" si="29"/>
        <v>46857</v>
      </c>
      <c r="J7" s="14">
        <f t="shared" ca="1" si="29"/>
        <v>47207</v>
      </c>
      <c r="K7" s="14">
        <f t="shared" ca="1" si="29"/>
        <v>47592</v>
      </c>
      <c r="L7" s="14">
        <f t="shared" ca="1" si="29"/>
        <v>47949</v>
      </c>
      <c r="N7" s="2">
        <v>1</v>
      </c>
      <c r="O7" s="2">
        <f t="shared" si="1"/>
        <v>1</v>
      </c>
      <c r="P7" s="2">
        <f t="shared" si="1"/>
        <v>1</v>
      </c>
      <c r="Q7" s="2">
        <f t="shared" si="1"/>
        <v>1</v>
      </c>
      <c r="R7" s="2">
        <f t="shared" si="1"/>
        <v>1</v>
      </c>
      <c r="S7" s="2">
        <f t="shared" si="1"/>
        <v>1</v>
      </c>
      <c r="T7" s="2">
        <f t="shared" si="1"/>
        <v>1</v>
      </c>
      <c r="U7" s="2">
        <f t="shared" si="1"/>
        <v>1</v>
      </c>
      <c r="V7" s="2">
        <f t="shared" si="1"/>
        <v>1</v>
      </c>
      <c r="W7" s="2">
        <f t="shared" si="1"/>
        <v>1</v>
      </c>
      <c r="X7" s="2">
        <f t="shared" si="1"/>
        <v>1</v>
      </c>
      <c r="Y7" s="2">
        <f t="shared" si="1"/>
        <v>1</v>
      </c>
      <c r="Z7" s="2">
        <v>1</v>
      </c>
      <c r="AA7" s="2">
        <f t="shared" si="2"/>
        <v>1</v>
      </c>
      <c r="AB7" s="2">
        <f t="shared" ref="AB7:AK7" si="30">$N7</f>
        <v>1</v>
      </c>
      <c r="AC7" s="2">
        <f t="shared" si="30"/>
        <v>1</v>
      </c>
      <c r="AD7" s="2">
        <f t="shared" si="30"/>
        <v>1</v>
      </c>
      <c r="AE7" s="2">
        <f t="shared" si="30"/>
        <v>1</v>
      </c>
      <c r="AF7" s="2">
        <f t="shared" si="30"/>
        <v>1</v>
      </c>
      <c r="AG7" s="2">
        <f t="shared" si="30"/>
        <v>1</v>
      </c>
      <c r="AH7" s="2">
        <f t="shared" si="30"/>
        <v>1</v>
      </c>
      <c r="AI7" s="2">
        <f t="shared" si="30"/>
        <v>1</v>
      </c>
      <c r="AJ7" s="2">
        <f t="shared" si="30"/>
        <v>1</v>
      </c>
      <c r="AK7" s="2">
        <f t="shared" si="30"/>
        <v>1</v>
      </c>
    </row>
    <row r="8" spans="1:48" x14ac:dyDescent="0.2">
      <c r="A8" s="2" t="s">
        <v>292</v>
      </c>
      <c r="B8" s="14">
        <f ca="1">DATE(B2,3,28)+MOD(24-MOD(B2,19)*10.63,29)-MOD(TRUNC(B2*5/4)+MOD(24-MOD(B2,19)*10.63,29)+1,7)</f>
        <v>44290</v>
      </c>
      <c r="C8" s="14">
        <f t="shared" ref="C8:L8" ca="1" si="31">DATE(C2,3,28)+MOD(24-MOD(C2,19)*10.63,29)-MOD(TRUNC(C2*5/4)+MOD(24-MOD(C2,19)*10.63,29)+1,7)</f>
        <v>44668</v>
      </c>
      <c r="D8" s="14">
        <f t="shared" ca="1" si="31"/>
        <v>45025</v>
      </c>
      <c r="E8" s="14">
        <f t="shared" ca="1" si="31"/>
        <v>45382</v>
      </c>
      <c r="F8" s="14">
        <f t="shared" ca="1" si="31"/>
        <v>45767</v>
      </c>
      <c r="G8" s="14">
        <f t="shared" ca="1" si="31"/>
        <v>46117</v>
      </c>
      <c r="H8" s="14">
        <f t="shared" ca="1" si="31"/>
        <v>46474</v>
      </c>
      <c r="I8" s="14">
        <f t="shared" ca="1" si="31"/>
        <v>46859</v>
      </c>
      <c r="J8" s="14">
        <f t="shared" ca="1" si="31"/>
        <v>47209</v>
      </c>
      <c r="K8" s="14">
        <f t="shared" ca="1" si="31"/>
        <v>47594</v>
      </c>
      <c r="L8" s="14">
        <f t="shared" ca="1" si="31"/>
        <v>47951</v>
      </c>
      <c r="N8" s="2">
        <v>0</v>
      </c>
      <c r="O8" s="2">
        <f t="shared" si="1"/>
        <v>0</v>
      </c>
      <c r="P8" s="2">
        <f t="shared" si="1"/>
        <v>0</v>
      </c>
      <c r="Q8" s="2">
        <f t="shared" si="1"/>
        <v>0</v>
      </c>
      <c r="R8" s="2">
        <f t="shared" si="1"/>
        <v>0</v>
      </c>
      <c r="S8" s="2">
        <f t="shared" si="1"/>
        <v>0</v>
      </c>
      <c r="T8" s="2">
        <f t="shared" si="1"/>
        <v>0</v>
      </c>
      <c r="U8" s="2">
        <f t="shared" si="1"/>
        <v>0</v>
      </c>
      <c r="V8" s="2">
        <f t="shared" si="1"/>
        <v>0</v>
      </c>
      <c r="W8" s="2">
        <f t="shared" si="1"/>
        <v>0</v>
      </c>
      <c r="X8" s="2">
        <f t="shared" si="1"/>
        <v>0</v>
      </c>
      <c r="Y8" s="2">
        <f t="shared" si="1"/>
        <v>0</v>
      </c>
      <c r="Z8" s="2">
        <v>0</v>
      </c>
      <c r="AA8" s="2">
        <f t="shared" si="2"/>
        <v>0</v>
      </c>
      <c r="AB8" s="2">
        <f t="shared" ref="AB8:AK9" si="32">$Z8</f>
        <v>0</v>
      </c>
      <c r="AC8" s="2">
        <f t="shared" si="32"/>
        <v>0</v>
      </c>
      <c r="AD8" s="2">
        <f t="shared" si="32"/>
        <v>0</v>
      </c>
      <c r="AE8" s="2">
        <f t="shared" si="32"/>
        <v>0</v>
      </c>
      <c r="AF8" s="2">
        <f t="shared" si="32"/>
        <v>0</v>
      </c>
      <c r="AG8" s="2">
        <f t="shared" si="32"/>
        <v>0</v>
      </c>
      <c r="AH8" s="2">
        <f t="shared" si="32"/>
        <v>0</v>
      </c>
      <c r="AI8" s="2">
        <f t="shared" si="32"/>
        <v>0</v>
      </c>
      <c r="AJ8" s="2">
        <f t="shared" si="32"/>
        <v>0</v>
      </c>
      <c r="AK8" s="2">
        <f t="shared" si="32"/>
        <v>0</v>
      </c>
    </row>
    <row r="9" spans="1:48" x14ac:dyDescent="0.2">
      <c r="A9" s="2" t="s">
        <v>293</v>
      </c>
      <c r="B9" s="14">
        <f t="shared" ref="B9:L9" ca="1" si="33">B8+1</f>
        <v>44291</v>
      </c>
      <c r="C9" s="14">
        <f t="shared" ca="1" si="33"/>
        <v>44669</v>
      </c>
      <c r="D9" s="14">
        <f t="shared" ca="1" si="33"/>
        <v>45026</v>
      </c>
      <c r="E9" s="14">
        <f t="shared" ca="1" si="33"/>
        <v>45383</v>
      </c>
      <c r="F9" s="14">
        <f t="shared" ca="1" si="33"/>
        <v>45768</v>
      </c>
      <c r="G9" s="14">
        <f t="shared" ca="1" si="33"/>
        <v>46118</v>
      </c>
      <c r="H9" s="14">
        <f t="shared" ca="1" si="33"/>
        <v>46475</v>
      </c>
      <c r="I9" s="14">
        <f t="shared" ca="1" si="33"/>
        <v>46860</v>
      </c>
      <c r="J9" s="14">
        <f t="shared" ca="1" si="33"/>
        <v>47210</v>
      </c>
      <c r="K9" s="14">
        <f t="shared" ca="1" si="33"/>
        <v>47595</v>
      </c>
      <c r="L9" s="14">
        <f t="shared" ca="1" si="33"/>
        <v>47952</v>
      </c>
      <c r="N9" s="2">
        <v>1</v>
      </c>
      <c r="O9" s="2">
        <f t="shared" si="1"/>
        <v>1</v>
      </c>
      <c r="P9" s="2">
        <f t="shared" si="1"/>
        <v>1</v>
      </c>
      <c r="Q9" s="2">
        <f t="shared" si="1"/>
        <v>1</v>
      </c>
      <c r="R9" s="2">
        <f t="shared" si="1"/>
        <v>1</v>
      </c>
      <c r="S9" s="2">
        <f t="shared" si="1"/>
        <v>1</v>
      </c>
      <c r="T9" s="2">
        <f t="shared" si="1"/>
        <v>1</v>
      </c>
      <c r="U9" s="2">
        <f t="shared" si="1"/>
        <v>1</v>
      </c>
      <c r="V9" s="2">
        <f t="shared" si="1"/>
        <v>1</v>
      </c>
      <c r="W9" s="2">
        <f t="shared" si="1"/>
        <v>1</v>
      </c>
      <c r="X9" s="2">
        <f t="shared" si="1"/>
        <v>1</v>
      </c>
      <c r="Y9" s="2">
        <f t="shared" si="1"/>
        <v>1</v>
      </c>
      <c r="Z9" s="2">
        <v>1</v>
      </c>
      <c r="AA9" s="2">
        <f t="shared" si="2"/>
        <v>1</v>
      </c>
      <c r="AB9" s="2">
        <f t="shared" si="32"/>
        <v>1</v>
      </c>
      <c r="AC9" s="2">
        <f t="shared" si="32"/>
        <v>1</v>
      </c>
      <c r="AD9" s="2">
        <f t="shared" si="32"/>
        <v>1</v>
      </c>
      <c r="AE9" s="2">
        <f t="shared" si="32"/>
        <v>1</v>
      </c>
      <c r="AF9" s="2">
        <f t="shared" si="32"/>
        <v>1</v>
      </c>
      <c r="AG9" s="2">
        <f t="shared" si="32"/>
        <v>1</v>
      </c>
      <c r="AH9" s="2">
        <f t="shared" si="32"/>
        <v>1</v>
      </c>
      <c r="AI9" s="2">
        <f t="shared" si="32"/>
        <v>1</v>
      </c>
      <c r="AJ9" s="2">
        <f t="shared" si="32"/>
        <v>1</v>
      </c>
      <c r="AK9" s="2">
        <f t="shared" si="32"/>
        <v>1</v>
      </c>
    </row>
    <row r="10" spans="1:48" x14ac:dyDescent="0.2">
      <c r="A10" s="2" t="s">
        <v>294</v>
      </c>
      <c r="B10" s="14">
        <f ca="1">B8+39</f>
        <v>44329</v>
      </c>
      <c r="C10" s="14">
        <f t="shared" ref="C10:L10" ca="1" si="34">C8+39</f>
        <v>44707</v>
      </c>
      <c r="D10" s="14">
        <f t="shared" ca="1" si="34"/>
        <v>45064</v>
      </c>
      <c r="E10" s="14">
        <f t="shared" ca="1" si="34"/>
        <v>45421</v>
      </c>
      <c r="F10" s="14">
        <f t="shared" ca="1" si="34"/>
        <v>45806</v>
      </c>
      <c r="G10" s="14">
        <f t="shared" ca="1" si="34"/>
        <v>46156</v>
      </c>
      <c r="H10" s="14">
        <f t="shared" ca="1" si="34"/>
        <v>46513</v>
      </c>
      <c r="I10" s="14">
        <f t="shared" ca="1" si="34"/>
        <v>46898</v>
      </c>
      <c r="J10" s="14">
        <f t="shared" ca="1" si="34"/>
        <v>47248</v>
      </c>
      <c r="K10" s="14">
        <f t="shared" ca="1" si="34"/>
        <v>47633</v>
      </c>
      <c r="L10" s="14">
        <f t="shared" ca="1" si="34"/>
        <v>47990</v>
      </c>
      <c r="N10" s="2">
        <v>1</v>
      </c>
      <c r="O10" s="5">
        <f ca="1">IF(B10=B11-1,2,IF(B10=B11,0,$N10))</f>
        <v>1</v>
      </c>
      <c r="P10" s="5">
        <f t="shared" ref="P10:Y10" ca="1" si="35">IF(C10=C11-1,2,IF(C10=C11,0,$N10))</f>
        <v>1</v>
      </c>
      <c r="Q10" s="5">
        <f t="shared" ca="1" si="35"/>
        <v>1</v>
      </c>
      <c r="R10" s="5">
        <f t="shared" ca="1" si="35"/>
        <v>1</v>
      </c>
      <c r="S10" s="5">
        <f t="shared" ca="1" si="35"/>
        <v>1</v>
      </c>
      <c r="T10" s="5">
        <f t="shared" ca="1" si="35"/>
        <v>1</v>
      </c>
      <c r="U10" s="5">
        <f t="shared" ca="1" si="35"/>
        <v>1</v>
      </c>
      <c r="V10" s="5">
        <f t="shared" ca="1" si="35"/>
        <v>1</v>
      </c>
      <c r="W10" s="5">
        <f t="shared" ca="1" si="35"/>
        <v>1</v>
      </c>
      <c r="X10" s="5">
        <f t="shared" ca="1" si="35"/>
        <v>1</v>
      </c>
      <c r="Y10" s="5">
        <f t="shared" ca="1" si="35"/>
        <v>1</v>
      </c>
      <c r="Z10" s="2">
        <v>1</v>
      </c>
      <c r="AA10" s="5">
        <f ca="1">IF(B10=B11+1,2,IF(B10=B11,0,$Z10))</f>
        <v>1</v>
      </c>
      <c r="AB10" s="5">
        <f t="shared" ref="AB10:AK10" ca="1" si="36">IF(C10=C11+1,2,IF(C10=C11,0,$Z10))</f>
        <v>1</v>
      </c>
      <c r="AC10" s="5">
        <f t="shared" ca="1" si="36"/>
        <v>1</v>
      </c>
      <c r="AD10" s="5">
        <f t="shared" ca="1" si="36"/>
        <v>1</v>
      </c>
      <c r="AE10" s="5">
        <f t="shared" ca="1" si="36"/>
        <v>1</v>
      </c>
      <c r="AF10" s="5">
        <f t="shared" ca="1" si="36"/>
        <v>1</v>
      </c>
      <c r="AG10" s="5">
        <f t="shared" ca="1" si="36"/>
        <v>1</v>
      </c>
      <c r="AH10" s="5">
        <f t="shared" ca="1" si="36"/>
        <v>1</v>
      </c>
      <c r="AI10" s="5">
        <f t="shared" ca="1" si="36"/>
        <v>1</v>
      </c>
      <c r="AJ10" s="5">
        <f t="shared" ca="1" si="36"/>
        <v>1</v>
      </c>
      <c r="AK10" s="5">
        <f t="shared" ca="1" si="36"/>
        <v>1</v>
      </c>
      <c r="AL10" s="5"/>
    </row>
    <row r="11" spans="1:48" x14ac:dyDescent="0.2">
      <c r="A11" s="2" t="s">
        <v>317</v>
      </c>
      <c r="B11" s="13">
        <f ca="1">DATE(B$2,5,1)</f>
        <v>44317</v>
      </c>
      <c r="C11" s="13">
        <f t="shared" ref="C11:L11" ca="1" si="37">DATE(C$2,5,1)</f>
        <v>44682</v>
      </c>
      <c r="D11" s="13">
        <f t="shared" ca="1" si="37"/>
        <v>45047</v>
      </c>
      <c r="E11" s="13">
        <f t="shared" ca="1" si="37"/>
        <v>45413</v>
      </c>
      <c r="F11" s="13">
        <f t="shared" ca="1" si="37"/>
        <v>45778</v>
      </c>
      <c r="G11" s="13">
        <f t="shared" ca="1" si="37"/>
        <v>46143</v>
      </c>
      <c r="H11" s="13">
        <f t="shared" ca="1" si="37"/>
        <v>46508</v>
      </c>
      <c r="I11" s="13">
        <f t="shared" ca="1" si="37"/>
        <v>46874</v>
      </c>
      <c r="J11" s="13">
        <f t="shared" ca="1" si="37"/>
        <v>47239</v>
      </c>
      <c r="K11" s="13">
        <f t="shared" ca="1" si="37"/>
        <v>47604</v>
      </c>
      <c r="L11" s="13">
        <f t="shared" ca="1" si="37"/>
        <v>47969</v>
      </c>
      <c r="N11" s="2">
        <v>1</v>
      </c>
      <c r="O11" s="5">
        <f ca="1">IF(B10=B11+1,2,$N11)</f>
        <v>1</v>
      </c>
      <c r="P11" s="5">
        <f t="shared" ref="P11:Y11" ca="1" si="38">IF(C10=C11+1,2,$N11)</f>
        <v>1</v>
      </c>
      <c r="Q11" s="5">
        <f t="shared" ca="1" si="38"/>
        <v>1</v>
      </c>
      <c r="R11" s="5">
        <f t="shared" ca="1" si="38"/>
        <v>1</v>
      </c>
      <c r="S11" s="5">
        <f t="shared" ca="1" si="38"/>
        <v>1</v>
      </c>
      <c r="T11" s="5">
        <f t="shared" ca="1" si="38"/>
        <v>1</v>
      </c>
      <c r="U11" s="5">
        <f t="shared" ca="1" si="38"/>
        <v>1</v>
      </c>
      <c r="V11" s="5">
        <f t="shared" ca="1" si="38"/>
        <v>1</v>
      </c>
      <c r="W11" s="5">
        <f t="shared" ca="1" si="38"/>
        <v>1</v>
      </c>
      <c r="X11" s="5">
        <f t="shared" ca="1" si="38"/>
        <v>1</v>
      </c>
      <c r="Y11" s="5">
        <f t="shared" ca="1" si="38"/>
        <v>1</v>
      </c>
      <c r="Z11" s="2">
        <v>1</v>
      </c>
      <c r="AA11" s="5">
        <f ca="1">IF(B10=B11-1,2,$Z11)</f>
        <v>1</v>
      </c>
      <c r="AB11" s="5">
        <f t="shared" ref="AB11:AK11" ca="1" si="39">IF(C10=C11-1,2,$Z11)</f>
        <v>1</v>
      </c>
      <c r="AC11" s="5">
        <f t="shared" ca="1" si="39"/>
        <v>1</v>
      </c>
      <c r="AD11" s="5">
        <f t="shared" ca="1" si="39"/>
        <v>1</v>
      </c>
      <c r="AE11" s="5">
        <f t="shared" ca="1" si="39"/>
        <v>1</v>
      </c>
      <c r="AF11" s="5">
        <f t="shared" ca="1" si="39"/>
        <v>1</v>
      </c>
      <c r="AG11" s="5">
        <f t="shared" ca="1" si="39"/>
        <v>1</v>
      </c>
      <c r="AH11" s="5">
        <f t="shared" ca="1" si="39"/>
        <v>1</v>
      </c>
      <c r="AI11" s="5">
        <f t="shared" ca="1" si="39"/>
        <v>1</v>
      </c>
      <c r="AJ11" s="5">
        <f t="shared" ca="1" si="39"/>
        <v>1</v>
      </c>
      <c r="AK11" s="5">
        <f t="shared" ca="1" si="39"/>
        <v>1</v>
      </c>
      <c r="AL11" s="5"/>
    </row>
    <row r="12" spans="1:48" x14ac:dyDescent="0.2">
      <c r="A12" s="16" t="s">
        <v>869</v>
      </c>
      <c r="B12" s="13" t="str">
        <f t="shared" ref="B12" ca="1" si="40">IF(OR(B$2=2020,B$2=2025),DATE(B$2,5,8),"")</f>
        <v/>
      </c>
      <c r="C12" s="13" t="str">
        <f ca="1">IF(OR(C$2=2020,C$2=2025),DATE(C$2,5,8),"")</f>
        <v/>
      </c>
      <c r="D12" s="13" t="str">
        <f t="shared" ref="D12:L12" ca="1" si="41">IF(OR(D$2=2020,D$2=2025),DATE(D$2,5,8),"")</f>
        <v/>
      </c>
      <c r="E12" s="13" t="str">
        <f t="shared" ca="1" si="41"/>
        <v/>
      </c>
      <c r="F12" s="13">
        <f t="shared" ca="1" si="41"/>
        <v>45785</v>
      </c>
      <c r="G12" s="13" t="str">
        <f t="shared" ca="1" si="41"/>
        <v/>
      </c>
      <c r="H12" s="13" t="str">
        <f t="shared" ca="1" si="41"/>
        <v/>
      </c>
      <c r="I12" s="13" t="str">
        <f t="shared" ca="1" si="41"/>
        <v/>
      </c>
      <c r="J12" s="13" t="str">
        <f t="shared" ca="1" si="41"/>
        <v/>
      </c>
      <c r="K12" s="13" t="str">
        <f t="shared" ca="1" si="41"/>
        <v/>
      </c>
      <c r="L12" s="13" t="str">
        <f t="shared" ca="1" si="41"/>
        <v/>
      </c>
      <c r="N12" s="5">
        <f>COUNTIF($AM12:$AW12,Fristenrechner!$H$5)</f>
        <v>1</v>
      </c>
      <c r="O12" s="2">
        <f ca="1">IF(B12="",0,$N12)</f>
        <v>0</v>
      </c>
      <c r="P12" s="2">
        <f t="shared" ref="P12" ca="1" si="42">IF(C12="",0,$N12)</f>
        <v>0</v>
      </c>
      <c r="Q12" s="2">
        <f t="shared" ref="Q12" ca="1" si="43">IF(D12="",0,$N12)</f>
        <v>0</v>
      </c>
      <c r="R12" s="2">
        <f t="shared" ref="R12" ca="1" si="44">IF(E12="",0,$N12)</f>
        <v>0</v>
      </c>
      <c r="S12" s="2">
        <f t="shared" ref="S12" ca="1" si="45">IF(F12="",0,$N12)</f>
        <v>1</v>
      </c>
      <c r="T12" s="2">
        <f t="shared" ref="T12" ca="1" si="46">IF(G12="",0,$N12)</f>
        <v>0</v>
      </c>
      <c r="U12" s="2">
        <f t="shared" ref="U12" ca="1" si="47">IF(H12="",0,$N12)</f>
        <v>0</v>
      </c>
      <c r="V12" s="2">
        <f t="shared" ref="V12" ca="1" si="48">IF(I12="",0,$N12)</f>
        <v>0</v>
      </c>
      <c r="W12" s="2">
        <f t="shared" ref="W12" ca="1" si="49">IF(J12="",0,$N12)</f>
        <v>0</v>
      </c>
      <c r="X12" s="2">
        <f t="shared" ref="X12" ca="1" si="50">IF(K12="",0,$N12)</f>
        <v>0</v>
      </c>
      <c r="Y12" s="2">
        <f t="shared" ref="Y12" ca="1" si="51">IF(L12="",0,$N12)</f>
        <v>0</v>
      </c>
      <c r="Z12" s="5">
        <f>COUNTIF($AM12:$AW12,Fristenrechner!$H$5)</f>
        <v>1</v>
      </c>
      <c r="AA12" s="2">
        <f ca="1">IF(B12="",0,$Z12)</f>
        <v>0</v>
      </c>
      <c r="AB12" s="2">
        <f t="shared" ref="AB12" ca="1" si="52">IF(C12="",0,$Z12)</f>
        <v>0</v>
      </c>
      <c r="AC12" s="2">
        <f t="shared" ref="AC12" ca="1" si="53">IF(D12="",0,$Z12)</f>
        <v>0</v>
      </c>
      <c r="AD12" s="2">
        <f t="shared" ref="AD12" ca="1" si="54">IF(E12="",0,$Z12)</f>
        <v>0</v>
      </c>
      <c r="AE12" s="2">
        <f t="shared" ref="AE12" ca="1" si="55">IF(F12="",0,$Z12)</f>
        <v>1</v>
      </c>
      <c r="AF12" s="2">
        <f t="shared" ref="AF12" ca="1" si="56">IF(G12="",0,$Z12)</f>
        <v>0</v>
      </c>
      <c r="AG12" s="2">
        <f t="shared" ref="AG12" ca="1" si="57">IF(H12="",0,$Z12)</f>
        <v>0</v>
      </c>
      <c r="AH12" s="2">
        <f t="shared" ref="AH12" ca="1" si="58">IF(I12="",0,$Z12)</f>
        <v>0</v>
      </c>
      <c r="AI12" s="2">
        <f t="shared" ref="AI12" ca="1" si="59">IF(J12="",0,$Z12)</f>
        <v>0</v>
      </c>
      <c r="AJ12" s="2">
        <f t="shared" ref="AJ12" ca="1" si="60">IF(K12="",0,$Z12)</f>
        <v>0</v>
      </c>
      <c r="AK12" s="2">
        <f t="shared" ref="AK12" ca="1" si="61">IF(L12="",0,$Z12)</f>
        <v>0</v>
      </c>
      <c r="AM12" s="4" t="s">
        <v>201</v>
      </c>
    </row>
    <row r="13" spans="1:48" x14ac:dyDescent="0.2">
      <c r="A13" s="2" t="s">
        <v>295</v>
      </c>
      <c r="B13" s="14">
        <f t="shared" ref="B13:L13" ca="1" si="62">B8+50</f>
        <v>44340</v>
      </c>
      <c r="C13" s="14">
        <f t="shared" ca="1" si="62"/>
        <v>44718</v>
      </c>
      <c r="D13" s="14">
        <f t="shared" ca="1" si="62"/>
        <v>45075</v>
      </c>
      <c r="E13" s="14">
        <f t="shared" ca="1" si="62"/>
        <v>45432</v>
      </c>
      <c r="F13" s="14">
        <f t="shared" ca="1" si="62"/>
        <v>45817</v>
      </c>
      <c r="G13" s="14">
        <f t="shared" ca="1" si="62"/>
        <v>46167</v>
      </c>
      <c r="H13" s="14">
        <f t="shared" ca="1" si="62"/>
        <v>46524</v>
      </c>
      <c r="I13" s="14">
        <f t="shared" ca="1" si="62"/>
        <v>46909</v>
      </c>
      <c r="J13" s="14">
        <f t="shared" ca="1" si="62"/>
        <v>47259</v>
      </c>
      <c r="K13" s="14">
        <f t="shared" ca="1" si="62"/>
        <v>47644</v>
      </c>
      <c r="L13" s="14">
        <f t="shared" ca="1" si="62"/>
        <v>48001</v>
      </c>
      <c r="N13" s="2">
        <v>1</v>
      </c>
      <c r="O13" s="2">
        <f t="shared" si="1"/>
        <v>1</v>
      </c>
      <c r="P13" s="2">
        <f t="shared" si="1"/>
        <v>1</v>
      </c>
      <c r="Q13" s="2">
        <f t="shared" si="1"/>
        <v>1</v>
      </c>
      <c r="R13" s="2">
        <f t="shared" si="1"/>
        <v>1</v>
      </c>
      <c r="S13" s="2">
        <f t="shared" si="1"/>
        <v>1</v>
      </c>
      <c r="T13" s="2">
        <f t="shared" si="1"/>
        <v>1</v>
      </c>
      <c r="U13" s="2">
        <f t="shared" si="1"/>
        <v>1</v>
      </c>
      <c r="V13" s="2">
        <f t="shared" si="1"/>
        <v>1</v>
      </c>
      <c r="W13" s="2">
        <f t="shared" si="1"/>
        <v>1</v>
      </c>
      <c r="X13" s="2">
        <f t="shared" si="1"/>
        <v>1</v>
      </c>
      <c r="Y13" s="2">
        <f t="shared" si="1"/>
        <v>1</v>
      </c>
      <c r="Z13" s="2">
        <v>1</v>
      </c>
      <c r="AA13" s="2">
        <f t="shared" ref="AA13:AA29" si="63">$Z13</f>
        <v>1</v>
      </c>
      <c r="AB13" s="2">
        <f t="shared" ref="AB13:AK29" si="64">$Z13</f>
        <v>1</v>
      </c>
      <c r="AC13" s="2">
        <f t="shared" si="64"/>
        <v>1</v>
      </c>
      <c r="AD13" s="2">
        <f t="shared" si="64"/>
        <v>1</v>
      </c>
      <c r="AE13" s="2">
        <f t="shared" si="64"/>
        <v>1</v>
      </c>
      <c r="AF13" s="2">
        <f t="shared" si="64"/>
        <v>1</v>
      </c>
      <c r="AG13" s="2">
        <f t="shared" si="64"/>
        <v>1</v>
      </c>
      <c r="AH13" s="2">
        <f t="shared" si="64"/>
        <v>1</v>
      </c>
      <c r="AI13" s="2">
        <f t="shared" si="64"/>
        <v>1</v>
      </c>
      <c r="AJ13" s="2">
        <f t="shared" si="64"/>
        <v>1</v>
      </c>
      <c r="AK13" s="2">
        <f t="shared" si="64"/>
        <v>1</v>
      </c>
    </row>
    <row r="14" spans="1:48" x14ac:dyDescent="0.2">
      <c r="A14" s="2" t="s">
        <v>296</v>
      </c>
      <c r="B14" s="14">
        <f t="shared" ref="B14:L14" ca="1" si="65">B8+60</f>
        <v>44350</v>
      </c>
      <c r="C14" s="14">
        <f t="shared" ca="1" si="65"/>
        <v>44728</v>
      </c>
      <c r="D14" s="14">
        <f t="shared" ca="1" si="65"/>
        <v>45085</v>
      </c>
      <c r="E14" s="14">
        <f t="shared" ca="1" si="65"/>
        <v>45442</v>
      </c>
      <c r="F14" s="14">
        <f t="shared" ca="1" si="65"/>
        <v>45827</v>
      </c>
      <c r="G14" s="14">
        <f t="shared" ca="1" si="65"/>
        <v>46177</v>
      </c>
      <c r="H14" s="14">
        <f t="shared" ca="1" si="65"/>
        <v>46534</v>
      </c>
      <c r="I14" s="14">
        <f t="shared" ca="1" si="65"/>
        <v>46919</v>
      </c>
      <c r="J14" s="14">
        <f t="shared" ca="1" si="65"/>
        <v>47269</v>
      </c>
      <c r="K14" s="14">
        <f t="shared" ca="1" si="65"/>
        <v>47654</v>
      </c>
      <c r="L14" s="14">
        <f t="shared" ca="1" si="65"/>
        <v>48011</v>
      </c>
      <c r="N14" s="5">
        <f>COUNTIF($AM14:$AW14,Fristenrechner!$H$5)</f>
        <v>0</v>
      </c>
      <c r="O14" s="2">
        <f t="shared" si="1"/>
        <v>0</v>
      </c>
      <c r="P14" s="2">
        <f t="shared" si="1"/>
        <v>0</v>
      </c>
      <c r="Q14" s="2">
        <f t="shared" si="1"/>
        <v>0</v>
      </c>
      <c r="R14" s="2">
        <f t="shared" si="1"/>
        <v>0</v>
      </c>
      <c r="S14" s="2">
        <f t="shared" si="1"/>
        <v>0</v>
      </c>
      <c r="T14" s="2">
        <f t="shared" si="1"/>
        <v>0</v>
      </c>
      <c r="U14" s="2">
        <f t="shared" si="1"/>
        <v>0</v>
      </c>
      <c r="V14" s="2">
        <f t="shared" si="1"/>
        <v>0</v>
      </c>
      <c r="W14" s="2">
        <f t="shared" si="1"/>
        <v>0</v>
      </c>
      <c r="X14" s="2">
        <f t="shared" si="1"/>
        <v>0</v>
      </c>
      <c r="Y14" s="2">
        <f t="shared" si="1"/>
        <v>0</v>
      </c>
      <c r="Z14" s="5">
        <f>COUNTIF($AM14:$AW14,Fristenrechner!$H$5)</f>
        <v>0</v>
      </c>
      <c r="AA14" s="2">
        <f t="shared" si="63"/>
        <v>0</v>
      </c>
      <c r="AB14" s="2">
        <f t="shared" si="64"/>
        <v>0</v>
      </c>
      <c r="AC14" s="2">
        <f t="shared" si="64"/>
        <v>0</v>
      </c>
      <c r="AD14" s="2">
        <f t="shared" si="64"/>
        <v>0</v>
      </c>
      <c r="AE14" s="2">
        <f t="shared" si="64"/>
        <v>0</v>
      </c>
      <c r="AF14" s="2">
        <f t="shared" si="64"/>
        <v>0</v>
      </c>
      <c r="AG14" s="2">
        <f t="shared" si="64"/>
        <v>0</v>
      </c>
      <c r="AH14" s="2">
        <f t="shared" si="64"/>
        <v>0</v>
      </c>
      <c r="AI14" s="2">
        <f t="shared" si="64"/>
        <v>0</v>
      </c>
      <c r="AJ14" s="2">
        <f t="shared" si="64"/>
        <v>0</v>
      </c>
      <c r="AK14" s="2">
        <f t="shared" si="64"/>
        <v>0</v>
      </c>
      <c r="AM14" s="2" t="s">
        <v>288</v>
      </c>
      <c r="AN14" s="2" t="s">
        <v>289</v>
      </c>
      <c r="AO14" s="2" t="s">
        <v>67</v>
      </c>
      <c r="AP14" s="2" t="s">
        <v>68</v>
      </c>
      <c r="AQ14" s="2" t="s">
        <v>297</v>
      </c>
      <c r="AR14" s="2" t="s">
        <v>298</v>
      </c>
      <c r="AS14" s="2" t="s">
        <v>299</v>
      </c>
      <c r="AT14" s="2" t="s">
        <v>300</v>
      </c>
      <c r="AU14" s="2" t="s">
        <v>62</v>
      </c>
      <c r="AV14" s="2" t="s">
        <v>61</v>
      </c>
    </row>
    <row r="15" spans="1:48" x14ac:dyDescent="0.2">
      <c r="A15" s="16" t="s">
        <v>868</v>
      </c>
      <c r="B15" s="783" t="str">
        <f t="shared" ref="B15" ca="1" si="66">IF(B$2=2028,DATE(B$2,6,17),"")</f>
        <v/>
      </c>
      <c r="C15" s="783" t="str">
        <f ca="1">IF(C$2=2028,DATE(C$2,6,17),"")</f>
        <v/>
      </c>
      <c r="D15" s="783" t="str">
        <f t="shared" ref="D15:L15" ca="1" si="67">IF(D$2=2028,DATE(D$2,6,17),"")</f>
        <v/>
      </c>
      <c r="E15" s="783" t="str">
        <f t="shared" ca="1" si="67"/>
        <v/>
      </c>
      <c r="F15" s="783" t="str">
        <f t="shared" ca="1" si="67"/>
        <v/>
      </c>
      <c r="G15" s="783" t="str">
        <f t="shared" ca="1" si="67"/>
        <v/>
      </c>
      <c r="H15" s="783" t="str">
        <f t="shared" ca="1" si="67"/>
        <v/>
      </c>
      <c r="I15" s="783">
        <f t="shared" ca="1" si="67"/>
        <v>46921</v>
      </c>
      <c r="J15" s="783" t="str">
        <f t="shared" ca="1" si="67"/>
        <v/>
      </c>
      <c r="K15" s="783" t="str">
        <f t="shared" ca="1" si="67"/>
        <v/>
      </c>
      <c r="L15" s="783" t="str">
        <f t="shared" ca="1" si="67"/>
        <v/>
      </c>
      <c r="N15" s="5">
        <f>COUNTIF($AM15:$AW15,Fristenrechner!$H$5)</f>
        <v>1</v>
      </c>
      <c r="O15" s="2">
        <f ca="1">IF(B15="",0,$N15)</f>
        <v>0</v>
      </c>
      <c r="P15" s="2">
        <f t="shared" ref="P15" ca="1" si="68">IF(C15="",0,$N15)</f>
        <v>0</v>
      </c>
      <c r="Q15" s="2">
        <f t="shared" ref="Q15" ca="1" si="69">IF(D15="",0,$N15)</f>
        <v>0</v>
      </c>
      <c r="R15" s="2">
        <f t="shared" ref="R15" ca="1" si="70">IF(E15="",0,$N15)</f>
        <v>0</v>
      </c>
      <c r="S15" s="2">
        <f t="shared" ref="S15" ca="1" si="71">IF(F15="",0,$N15)</f>
        <v>0</v>
      </c>
      <c r="T15" s="2">
        <f t="shared" ref="T15" ca="1" si="72">IF(G15="",0,$N15)</f>
        <v>0</v>
      </c>
      <c r="U15" s="2">
        <f t="shared" ref="U15" ca="1" si="73">IF(H15="",0,$N15)</f>
        <v>0</v>
      </c>
      <c r="V15" s="2">
        <f t="shared" ref="V15" ca="1" si="74">IF(I15="",0,$N15)</f>
        <v>1</v>
      </c>
      <c r="W15" s="2">
        <f t="shared" ref="W15" ca="1" si="75">IF(J15="",0,$N15)</f>
        <v>0</v>
      </c>
      <c r="X15" s="2">
        <f t="shared" ref="X15" ca="1" si="76">IF(K15="",0,$N15)</f>
        <v>0</v>
      </c>
      <c r="Y15" s="2">
        <f t="shared" ref="Y15" ca="1" si="77">IF(L15="",0,$N15)</f>
        <v>0</v>
      </c>
      <c r="Z15" s="5">
        <f>COUNTIF($AM15:$AW15,Fristenrechner!$H$5)</f>
        <v>1</v>
      </c>
      <c r="AA15" s="2">
        <f ca="1">IF(B15="",0,$Z15)</f>
        <v>0</v>
      </c>
      <c r="AB15" s="2">
        <f t="shared" ref="AB15" ca="1" si="78">IF(C15="",0,$Z15)</f>
        <v>0</v>
      </c>
      <c r="AC15" s="2">
        <f t="shared" ref="AC15" ca="1" si="79">IF(D15="",0,$Z15)</f>
        <v>0</v>
      </c>
      <c r="AD15" s="2">
        <f t="shared" ref="AD15" ca="1" si="80">IF(E15="",0,$Z15)</f>
        <v>0</v>
      </c>
      <c r="AE15" s="2">
        <f t="shared" ref="AE15" ca="1" si="81">IF(F15="",0,$Z15)</f>
        <v>0</v>
      </c>
      <c r="AF15" s="2">
        <f t="shared" ref="AF15" ca="1" si="82">IF(G15="",0,$Z15)</f>
        <v>0</v>
      </c>
      <c r="AG15" s="2">
        <f t="shared" ref="AG15" ca="1" si="83">IF(H15="",0,$Z15)</f>
        <v>0</v>
      </c>
      <c r="AH15" s="2">
        <f t="shared" ref="AH15" ca="1" si="84">IF(I15="",0,$Z15)</f>
        <v>1</v>
      </c>
      <c r="AI15" s="2">
        <f t="shared" ref="AI15" ca="1" si="85">IF(J15="",0,$Z15)</f>
        <v>0</v>
      </c>
      <c r="AJ15" s="2">
        <f t="shared" ref="AJ15" ca="1" si="86">IF(K15="",0,$Z15)</f>
        <v>0</v>
      </c>
      <c r="AK15" s="2">
        <f t="shared" ref="AK15" ca="1" si="87">IF(L15="",0,$Z15)</f>
        <v>0</v>
      </c>
      <c r="AM15" s="4" t="s">
        <v>201</v>
      </c>
    </row>
    <row r="16" spans="1:48" x14ac:dyDescent="0.2">
      <c r="A16" s="2" t="s">
        <v>301</v>
      </c>
      <c r="B16" s="13">
        <f ca="1">DATE(B$2,8,8)</f>
        <v>44416</v>
      </c>
      <c r="C16" s="13">
        <f t="shared" ref="C16:L16" ca="1" si="88">DATE(C$2,8,8)</f>
        <v>44781</v>
      </c>
      <c r="D16" s="13">
        <f t="shared" ca="1" si="88"/>
        <v>45146</v>
      </c>
      <c r="E16" s="13">
        <f t="shared" ca="1" si="88"/>
        <v>45512</v>
      </c>
      <c r="F16" s="13">
        <f t="shared" ca="1" si="88"/>
        <v>45877</v>
      </c>
      <c r="G16" s="13">
        <f t="shared" ca="1" si="88"/>
        <v>46242</v>
      </c>
      <c r="H16" s="13">
        <f t="shared" ca="1" si="88"/>
        <v>46607</v>
      </c>
      <c r="I16" s="13">
        <f t="shared" ca="1" si="88"/>
        <v>46973</v>
      </c>
      <c r="J16" s="13">
        <f t="shared" ca="1" si="88"/>
        <v>47338</v>
      </c>
      <c r="K16" s="13">
        <f t="shared" ca="1" si="88"/>
        <v>47703</v>
      </c>
      <c r="L16" s="13">
        <f t="shared" ca="1" si="88"/>
        <v>48068</v>
      </c>
      <c r="N16" s="5">
        <f>COUNTIF($AM16:$AW16,Fristenrechner!$H$5)</f>
        <v>0</v>
      </c>
      <c r="O16" s="2">
        <f t="shared" si="1"/>
        <v>0</v>
      </c>
      <c r="P16" s="2">
        <f t="shared" si="1"/>
        <v>0</v>
      </c>
      <c r="Q16" s="2">
        <f t="shared" si="1"/>
        <v>0</v>
      </c>
      <c r="R16" s="2">
        <f t="shared" si="1"/>
        <v>0</v>
      </c>
      <c r="S16" s="2">
        <f t="shared" si="1"/>
        <v>0</v>
      </c>
      <c r="T16" s="2">
        <f t="shared" si="1"/>
        <v>0</v>
      </c>
      <c r="U16" s="2">
        <f t="shared" si="1"/>
        <v>0</v>
      </c>
      <c r="V16" s="2">
        <f t="shared" si="1"/>
        <v>0</v>
      </c>
      <c r="W16" s="2">
        <f t="shared" si="1"/>
        <v>0</v>
      </c>
      <c r="X16" s="2">
        <f t="shared" si="1"/>
        <v>0</v>
      </c>
      <c r="Y16" s="2">
        <f t="shared" si="1"/>
        <v>0</v>
      </c>
      <c r="Z16" s="5">
        <f>COUNTIF($AM16:$AW16,Fristenrechner!$H$5)</f>
        <v>0</v>
      </c>
      <c r="AA16" s="2">
        <f t="shared" si="63"/>
        <v>0</v>
      </c>
      <c r="AB16" s="2">
        <f t="shared" si="64"/>
        <v>0</v>
      </c>
      <c r="AC16" s="2">
        <f t="shared" si="64"/>
        <v>0</v>
      </c>
      <c r="AD16" s="2">
        <f t="shared" si="64"/>
        <v>0</v>
      </c>
      <c r="AE16" s="2">
        <f t="shared" si="64"/>
        <v>0</v>
      </c>
      <c r="AF16" s="2">
        <f t="shared" si="64"/>
        <v>0</v>
      </c>
      <c r="AG16" s="2">
        <f t="shared" si="64"/>
        <v>0</v>
      </c>
      <c r="AH16" s="2">
        <f t="shared" si="64"/>
        <v>0</v>
      </c>
      <c r="AI16" s="2">
        <f t="shared" si="64"/>
        <v>0</v>
      </c>
      <c r="AJ16" s="2">
        <f t="shared" si="64"/>
        <v>0</v>
      </c>
      <c r="AK16" s="2">
        <f t="shared" si="64"/>
        <v>0</v>
      </c>
      <c r="AM16" s="2" t="s">
        <v>68</v>
      </c>
    </row>
    <row r="17" spans="1:45" x14ac:dyDescent="0.2">
      <c r="A17" s="2" t="s">
        <v>302</v>
      </c>
      <c r="B17" s="13">
        <f ca="1">DATE(B$2,8,15)</f>
        <v>44423</v>
      </c>
      <c r="C17" s="13">
        <f t="shared" ref="C17:L17" ca="1" si="89">DATE(C$2,8,15)</f>
        <v>44788</v>
      </c>
      <c r="D17" s="13">
        <f t="shared" ca="1" si="89"/>
        <v>45153</v>
      </c>
      <c r="E17" s="13">
        <f t="shared" ca="1" si="89"/>
        <v>45519</v>
      </c>
      <c r="F17" s="13">
        <f t="shared" ca="1" si="89"/>
        <v>45884</v>
      </c>
      <c r="G17" s="13">
        <f t="shared" ca="1" si="89"/>
        <v>46249</v>
      </c>
      <c r="H17" s="13">
        <f t="shared" ca="1" si="89"/>
        <v>46614</v>
      </c>
      <c r="I17" s="13">
        <f t="shared" ca="1" si="89"/>
        <v>46980</v>
      </c>
      <c r="J17" s="13">
        <f t="shared" ca="1" si="89"/>
        <v>47345</v>
      </c>
      <c r="K17" s="13">
        <f t="shared" ca="1" si="89"/>
        <v>47710</v>
      </c>
      <c r="L17" s="13">
        <f t="shared" ca="1" si="89"/>
        <v>48075</v>
      </c>
      <c r="N17" s="5">
        <f>COUNTIF($AM17:$AW17,Fristenrechner!$H$5)</f>
        <v>0</v>
      </c>
      <c r="O17" s="2">
        <f t="shared" ref="O17:Y29" si="90">$N17</f>
        <v>0</v>
      </c>
      <c r="P17" s="2">
        <f t="shared" si="90"/>
        <v>0</v>
      </c>
      <c r="Q17" s="2">
        <f t="shared" si="90"/>
        <v>0</v>
      </c>
      <c r="R17" s="2">
        <f t="shared" si="90"/>
        <v>0</v>
      </c>
      <c r="S17" s="2">
        <f t="shared" si="90"/>
        <v>0</v>
      </c>
      <c r="T17" s="2">
        <f t="shared" si="90"/>
        <v>0</v>
      </c>
      <c r="U17" s="2">
        <f t="shared" si="90"/>
        <v>0</v>
      </c>
      <c r="V17" s="2">
        <f t="shared" si="90"/>
        <v>0</v>
      </c>
      <c r="W17" s="2">
        <f t="shared" si="90"/>
        <v>0</v>
      </c>
      <c r="X17" s="2">
        <f t="shared" si="90"/>
        <v>0</v>
      </c>
      <c r="Y17" s="2">
        <f t="shared" si="90"/>
        <v>0</v>
      </c>
      <c r="Z17" s="5">
        <f>COUNTIF($AM17:$AW17,Fristenrechner!$H$5)</f>
        <v>0</v>
      </c>
      <c r="AA17" s="2">
        <f t="shared" si="63"/>
        <v>0</v>
      </c>
      <c r="AB17" s="2">
        <f t="shared" si="64"/>
        <v>0</v>
      </c>
      <c r="AC17" s="2">
        <f t="shared" si="64"/>
        <v>0</v>
      </c>
      <c r="AD17" s="2">
        <f t="shared" si="64"/>
        <v>0</v>
      </c>
      <c r="AE17" s="2">
        <f t="shared" si="64"/>
        <v>0</v>
      </c>
      <c r="AF17" s="2">
        <f t="shared" si="64"/>
        <v>0</v>
      </c>
      <c r="AG17" s="2">
        <f t="shared" si="64"/>
        <v>0</v>
      </c>
      <c r="AH17" s="2">
        <f t="shared" si="64"/>
        <v>0</v>
      </c>
      <c r="AI17" s="2">
        <f t="shared" si="64"/>
        <v>0</v>
      </c>
      <c r="AJ17" s="2">
        <f t="shared" si="64"/>
        <v>0</v>
      </c>
      <c r="AK17" s="2">
        <f t="shared" si="64"/>
        <v>0</v>
      </c>
      <c r="AM17" s="2" t="s">
        <v>67</v>
      </c>
      <c r="AN17" s="2" t="s">
        <v>68</v>
      </c>
      <c r="AO17" s="2" t="s">
        <v>300</v>
      </c>
    </row>
    <row r="18" spans="1:45" x14ac:dyDescent="0.2">
      <c r="A18" s="2" t="s">
        <v>753</v>
      </c>
      <c r="B18" s="13">
        <f ca="1">IF(B$2&gt;=2019,DATE(B$2,9,20),"")</f>
        <v>44459</v>
      </c>
      <c r="C18" s="13">
        <f t="shared" ref="C18:F18" ca="1" si="91">IF(C$2&gt;=2019,DATE(C$2,9,20),"")</f>
        <v>44824</v>
      </c>
      <c r="D18" s="13">
        <f t="shared" ca="1" si="91"/>
        <v>45189</v>
      </c>
      <c r="E18" s="13">
        <f t="shared" ca="1" si="91"/>
        <v>45555</v>
      </c>
      <c r="F18" s="13">
        <f t="shared" ca="1" si="91"/>
        <v>45920</v>
      </c>
      <c r="G18" s="13">
        <f ca="1">IF(G$2&gt;=2019,DATE(G$2,9,20),"")</f>
        <v>46285</v>
      </c>
      <c r="H18" s="13">
        <f t="shared" ref="H18:L18" ca="1" si="92">IF(H$2&gt;=2019,DATE(H$2,9,20),"")</f>
        <v>46650</v>
      </c>
      <c r="I18" s="13">
        <f t="shared" ca="1" si="92"/>
        <v>47016</v>
      </c>
      <c r="J18" s="13">
        <f t="shared" ca="1" si="92"/>
        <v>47381</v>
      </c>
      <c r="K18" s="13">
        <f t="shared" ca="1" si="92"/>
        <v>47746</v>
      </c>
      <c r="L18" s="13">
        <f t="shared" ca="1" si="92"/>
        <v>48111</v>
      </c>
      <c r="N18" s="5">
        <f>COUNTIF($AM18:$AW18,Fristenrechner!$H$5)</f>
        <v>0</v>
      </c>
      <c r="O18" s="2">
        <f ca="1">IF(B18="",0,$N18)</f>
        <v>0</v>
      </c>
      <c r="P18" s="2">
        <f t="shared" ref="P18" ca="1" si="93">IF(C18="",0,$N18)</f>
        <v>0</v>
      </c>
      <c r="Q18" s="2">
        <f t="shared" ref="Q18" ca="1" si="94">IF(D18="",0,$N18)</f>
        <v>0</v>
      </c>
      <c r="R18" s="2">
        <f t="shared" ref="R18" ca="1" si="95">IF(E18="",0,$N18)</f>
        <v>0</v>
      </c>
      <c r="S18" s="2">
        <f t="shared" ref="S18" ca="1" si="96">IF(F18="",0,$N18)</f>
        <v>0</v>
      </c>
      <c r="T18" s="2">
        <f t="shared" ref="T18" ca="1" si="97">IF(G18="",0,$N18)</f>
        <v>0</v>
      </c>
      <c r="U18" s="2">
        <f t="shared" ref="U18" ca="1" si="98">IF(H18="",0,$N18)</f>
        <v>0</v>
      </c>
      <c r="V18" s="2">
        <f t="shared" ref="V18" ca="1" si="99">IF(I18="",0,$N18)</f>
        <v>0</v>
      </c>
      <c r="W18" s="2">
        <f t="shared" ref="W18" ca="1" si="100">IF(J18="",0,$N18)</f>
        <v>0</v>
      </c>
      <c r="X18" s="2">
        <f t="shared" ref="X18" ca="1" si="101">IF(K18="",0,$N18)</f>
        <v>0</v>
      </c>
      <c r="Y18" s="2">
        <f t="shared" ref="Y18" ca="1" si="102">IF(L18="",0,$N18)</f>
        <v>0</v>
      </c>
      <c r="Z18" s="5">
        <f>COUNTIF($AM18:$AW18,Fristenrechner!$H$5)</f>
        <v>0</v>
      </c>
      <c r="AA18" s="2">
        <f ca="1">IF(B18="",0,$Z18)</f>
        <v>0</v>
      </c>
      <c r="AB18" s="2">
        <f t="shared" ref="AB18" ca="1" si="103">IF(C18="",0,$Z18)</f>
        <v>0</v>
      </c>
      <c r="AC18" s="2">
        <f t="shared" ref="AC18" ca="1" si="104">IF(D18="",0,$Z18)</f>
        <v>0</v>
      </c>
      <c r="AD18" s="2">
        <f t="shared" ref="AD18" ca="1" si="105">IF(E18="",0,$Z18)</f>
        <v>0</v>
      </c>
      <c r="AE18" s="2">
        <f t="shared" ref="AE18" ca="1" si="106">IF(F18="",0,$Z18)</f>
        <v>0</v>
      </c>
      <c r="AF18" s="2">
        <f t="shared" ref="AF18" ca="1" si="107">IF(G18="",0,$Z18)</f>
        <v>0</v>
      </c>
      <c r="AG18" s="2">
        <f t="shared" ref="AG18" ca="1" si="108">IF(H18="",0,$Z18)</f>
        <v>0</v>
      </c>
      <c r="AH18" s="2">
        <f t="shared" ref="AH18" ca="1" si="109">IF(I18="",0,$Z18)</f>
        <v>0</v>
      </c>
      <c r="AI18" s="2">
        <f t="shared" ref="AI18" ca="1" si="110">IF(J18="",0,$Z18)</f>
        <v>0</v>
      </c>
      <c r="AJ18" s="2">
        <f t="shared" ref="AJ18" ca="1" si="111">IF(K18="",0,$Z18)</f>
        <v>0</v>
      </c>
      <c r="AK18" s="2">
        <f t="shared" ref="AK18" ca="1" si="112">IF(L18="",0,$Z18)</f>
        <v>0</v>
      </c>
      <c r="AM18" s="2" t="s">
        <v>308</v>
      </c>
    </row>
    <row r="19" spans="1:45" x14ac:dyDescent="0.2">
      <c r="A19" s="2" t="s">
        <v>303</v>
      </c>
      <c r="B19" s="13">
        <f ca="1">DATE(B$2,10,3)</f>
        <v>44472</v>
      </c>
      <c r="C19" s="13">
        <f t="shared" ref="C19:L19" ca="1" si="113">DATE(C$2,10,3)</f>
        <v>44837</v>
      </c>
      <c r="D19" s="13">
        <f t="shared" ca="1" si="113"/>
        <v>45202</v>
      </c>
      <c r="E19" s="13">
        <f t="shared" ca="1" si="113"/>
        <v>45568</v>
      </c>
      <c r="F19" s="13">
        <f t="shared" ca="1" si="113"/>
        <v>45933</v>
      </c>
      <c r="G19" s="13">
        <f t="shared" ca="1" si="113"/>
        <v>46298</v>
      </c>
      <c r="H19" s="13">
        <f t="shared" ca="1" si="113"/>
        <v>46663</v>
      </c>
      <c r="I19" s="13">
        <f t="shared" ca="1" si="113"/>
        <v>47029</v>
      </c>
      <c r="J19" s="13">
        <f t="shared" ca="1" si="113"/>
        <v>47394</v>
      </c>
      <c r="K19" s="13">
        <f t="shared" ca="1" si="113"/>
        <v>47759</v>
      </c>
      <c r="L19" s="13">
        <f t="shared" ca="1" si="113"/>
        <v>48124</v>
      </c>
      <c r="N19" s="2">
        <v>1</v>
      </c>
      <c r="O19" s="2">
        <f t="shared" si="90"/>
        <v>1</v>
      </c>
      <c r="P19" s="2">
        <f t="shared" si="90"/>
        <v>1</v>
      </c>
      <c r="Q19" s="2">
        <f t="shared" si="90"/>
        <v>1</v>
      </c>
      <c r="R19" s="2">
        <f t="shared" si="90"/>
        <v>1</v>
      </c>
      <c r="S19" s="2">
        <f t="shared" si="90"/>
        <v>1</v>
      </c>
      <c r="T19" s="2">
        <f t="shared" si="90"/>
        <v>1</v>
      </c>
      <c r="U19" s="2">
        <f t="shared" si="90"/>
        <v>1</v>
      </c>
      <c r="V19" s="2">
        <f t="shared" si="90"/>
        <v>1</v>
      </c>
      <c r="W19" s="2">
        <f t="shared" si="90"/>
        <v>1</v>
      </c>
      <c r="X19" s="2">
        <f t="shared" si="90"/>
        <v>1</v>
      </c>
      <c r="Y19" s="2">
        <f t="shared" si="90"/>
        <v>1</v>
      </c>
      <c r="Z19" s="2">
        <v>1</v>
      </c>
      <c r="AA19" s="2">
        <f t="shared" si="63"/>
        <v>1</v>
      </c>
      <c r="AB19" s="2">
        <f t="shared" si="64"/>
        <v>1</v>
      </c>
      <c r="AC19" s="2">
        <f t="shared" si="64"/>
        <v>1</v>
      </c>
      <c r="AD19" s="2">
        <f t="shared" si="64"/>
        <v>1</v>
      </c>
      <c r="AE19" s="2">
        <f t="shared" si="64"/>
        <v>1</v>
      </c>
      <c r="AF19" s="2">
        <f t="shared" si="64"/>
        <v>1</v>
      </c>
      <c r="AG19" s="2">
        <f t="shared" si="64"/>
        <v>1</v>
      </c>
      <c r="AH19" s="2">
        <f t="shared" si="64"/>
        <v>1</v>
      </c>
      <c r="AI19" s="2">
        <f t="shared" si="64"/>
        <v>1</v>
      </c>
      <c r="AJ19" s="2">
        <f t="shared" si="64"/>
        <v>1</v>
      </c>
      <c r="AK19" s="2">
        <f t="shared" si="64"/>
        <v>1</v>
      </c>
    </row>
    <row r="20" spans="1:45" x14ac:dyDescent="0.2">
      <c r="A20" s="2" t="s">
        <v>304</v>
      </c>
      <c r="B20" s="13">
        <f ca="1">IF(B$2=2017,"",DATE(B$2,10,31))</f>
        <v>44500</v>
      </c>
      <c r="C20" s="13">
        <f t="shared" ref="C20:L20" ca="1" si="114">IF(C$2=2017,"",DATE(C$2,10,31))</f>
        <v>44865</v>
      </c>
      <c r="D20" s="13">
        <f t="shared" ca="1" si="114"/>
        <v>45230</v>
      </c>
      <c r="E20" s="13">
        <f t="shared" ca="1" si="114"/>
        <v>45596</v>
      </c>
      <c r="F20" s="13">
        <f t="shared" ca="1" si="114"/>
        <v>45961</v>
      </c>
      <c r="G20" s="13">
        <f t="shared" ca="1" si="114"/>
        <v>46326</v>
      </c>
      <c r="H20" s="13">
        <f t="shared" ca="1" si="114"/>
        <v>46691</v>
      </c>
      <c r="I20" s="13">
        <f t="shared" ca="1" si="114"/>
        <v>47057</v>
      </c>
      <c r="J20" s="13">
        <f t="shared" ca="1" si="114"/>
        <v>47422</v>
      </c>
      <c r="K20" s="13">
        <f t="shared" ca="1" si="114"/>
        <v>47787</v>
      </c>
      <c r="L20" s="13">
        <f t="shared" ca="1" si="114"/>
        <v>48152</v>
      </c>
      <c r="N20" s="5">
        <f>COUNTIF($AM20:$AW20,Fristenrechner!$H$5)</f>
        <v>0</v>
      </c>
      <c r="O20" s="2">
        <f ca="1">IF(B20="",0,$N20)</f>
        <v>0</v>
      </c>
      <c r="P20" s="2">
        <f t="shared" ref="P20:Y20" ca="1" si="115">IF(C20="",0,$N20)</f>
        <v>0</v>
      </c>
      <c r="Q20" s="2">
        <f t="shared" ca="1" si="115"/>
        <v>0</v>
      </c>
      <c r="R20" s="2">
        <f t="shared" ca="1" si="115"/>
        <v>0</v>
      </c>
      <c r="S20" s="2">
        <f t="shared" ca="1" si="115"/>
        <v>0</v>
      </c>
      <c r="T20" s="2">
        <f t="shared" ca="1" si="115"/>
        <v>0</v>
      </c>
      <c r="U20" s="2">
        <f t="shared" ca="1" si="115"/>
        <v>0</v>
      </c>
      <c r="V20" s="2">
        <f t="shared" ca="1" si="115"/>
        <v>0</v>
      </c>
      <c r="W20" s="2">
        <f t="shared" ca="1" si="115"/>
        <v>0</v>
      </c>
      <c r="X20" s="2">
        <f t="shared" ca="1" si="115"/>
        <v>0</v>
      </c>
      <c r="Y20" s="2">
        <f t="shared" ca="1" si="115"/>
        <v>0</v>
      </c>
      <c r="Z20" s="5">
        <f>COUNTIF($AM20:$AW20,Fristenrechner!$H$5)</f>
        <v>0</v>
      </c>
      <c r="AA20" s="2">
        <f ca="1">IF(B20="",0,$Z20)</f>
        <v>0</v>
      </c>
      <c r="AB20" s="2">
        <f t="shared" ref="AB20:AK22" ca="1" si="116">IF(C20="",0,$Z20)</f>
        <v>0</v>
      </c>
      <c r="AC20" s="2">
        <f t="shared" ca="1" si="116"/>
        <v>0</v>
      </c>
      <c r="AD20" s="2">
        <f t="shared" ca="1" si="116"/>
        <v>0</v>
      </c>
      <c r="AE20" s="2">
        <f t="shared" ca="1" si="116"/>
        <v>0</v>
      </c>
      <c r="AF20" s="2">
        <f t="shared" ca="1" si="116"/>
        <v>0</v>
      </c>
      <c r="AG20" s="2">
        <f t="shared" ca="1" si="116"/>
        <v>0</v>
      </c>
      <c r="AH20" s="2">
        <f t="shared" ca="1" si="116"/>
        <v>0</v>
      </c>
      <c r="AI20" s="2">
        <f t="shared" ca="1" si="116"/>
        <v>0</v>
      </c>
      <c r="AJ20" s="2">
        <f t="shared" ca="1" si="116"/>
        <v>0</v>
      </c>
      <c r="AK20" s="2">
        <f t="shared" ca="1" si="116"/>
        <v>0</v>
      </c>
      <c r="AM20" s="2" t="s">
        <v>305</v>
      </c>
      <c r="AN20" s="2" t="s">
        <v>306</v>
      </c>
      <c r="AO20" s="2" t="s">
        <v>307</v>
      </c>
      <c r="AP20" s="2" t="s">
        <v>62</v>
      </c>
      <c r="AQ20" s="2" t="s">
        <v>290</v>
      </c>
      <c r="AR20" s="2" t="s">
        <v>308</v>
      </c>
      <c r="AS20" s="2" t="s">
        <v>61</v>
      </c>
    </row>
    <row r="21" spans="1:45" x14ac:dyDescent="0.2">
      <c r="A21" s="2" t="s">
        <v>304</v>
      </c>
      <c r="B21" s="13">
        <f ca="1">IF(B$2&gt;=2018,DATE(B$2,10,31),"")</f>
        <v>44500</v>
      </c>
      <c r="C21" s="13">
        <f t="shared" ref="C21:L21" ca="1" si="117">IF(C$2&gt;=2018,DATE(C$2,10,31),"")</f>
        <v>44865</v>
      </c>
      <c r="D21" s="13">
        <f t="shared" ca="1" si="117"/>
        <v>45230</v>
      </c>
      <c r="E21" s="13">
        <f t="shared" ca="1" si="117"/>
        <v>45596</v>
      </c>
      <c r="F21" s="13">
        <f t="shared" ca="1" si="117"/>
        <v>45961</v>
      </c>
      <c r="G21" s="13">
        <f t="shared" ca="1" si="117"/>
        <v>46326</v>
      </c>
      <c r="H21" s="13">
        <f t="shared" ca="1" si="117"/>
        <v>46691</v>
      </c>
      <c r="I21" s="13">
        <f t="shared" ca="1" si="117"/>
        <v>47057</v>
      </c>
      <c r="J21" s="13">
        <f t="shared" ca="1" si="117"/>
        <v>47422</v>
      </c>
      <c r="K21" s="13">
        <f t="shared" ca="1" si="117"/>
        <v>47787</v>
      </c>
      <c r="L21" s="13">
        <f t="shared" ca="1" si="117"/>
        <v>48152</v>
      </c>
      <c r="N21" s="5">
        <f>COUNTIF($AM21:$AW21,Fristenrechner!$H$5)</f>
        <v>0</v>
      </c>
      <c r="O21" s="2">
        <f ca="1">IF(B21="",0,$N21)</f>
        <v>0</v>
      </c>
      <c r="P21" s="2">
        <f t="shared" ref="P21" ca="1" si="118">IF(C21="",0,$N21)</f>
        <v>0</v>
      </c>
      <c r="Q21" s="2">
        <f t="shared" ref="Q21" ca="1" si="119">IF(D21="",0,$N21)</f>
        <v>0</v>
      </c>
      <c r="R21" s="2">
        <f t="shared" ref="R21" ca="1" si="120">IF(E21="",0,$N21)</f>
        <v>0</v>
      </c>
      <c r="S21" s="2">
        <f t="shared" ref="S21" ca="1" si="121">IF(F21="",0,$N21)</f>
        <v>0</v>
      </c>
      <c r="T21" s="2">
        <f t="shared" ref="T21" ca="1" si="122">IF(G21="",0,$N21)</f>
        <v>0</v>
      </c>
      <c r="U21" s="2">
        <f t="shared" ref="U21" ca="1" si="123">IF(H21="",0,$N21)</f>
        <v>0</v>
      </c>
      <c r="V21" s="2">
        <f t="shared" ref="V21" ca="1" si="124">IF(I21="",0,$N21)</f>
        <v>0</v>
      </c>
      <c r="W21" s="2">
        <f t="shared" ref="W21" ca="1" si="125">IF(J21="",0,$N21)</f>
        <v>0</v>
      </c>
      <c r="X21" s="2">
        <f t="shared" ref="X21" ca="1" si="126">IF(K21="",0,$N21)</f>
        <v>0</v>
      </c>
      <c r="Y21" s="2">
        <f t="shared" ref="Y21" ca="1" si="127">IF(L21="",0,$N21)</f>
        <v>0</v>
      </c>
      <c r="Z21" s="5">
        <f>COUNTIF($AM21:$AW21,Fristenrechner!$H$5)</f>
        <v>0</v>
      </c>
      <c r="AA21" s="2">
        <f ca="1">IF(B21="",0,$Z21)</f>
        <v>0</v>
      </c>
      <c r="AB21" s="2">
        <f t="shared" ref="AB21" ca="1" si="128">IF(C21="",0,$Z21)</f>
        <v>0</v>
      </c>
      <c r="AC21" s="2">
        <f t="shared" ref="AC21" ca="1" si="129">IF(D21="",0,$Z21)</f>
        <v>0</v>
      </c>
      <c r="AD21" s="2">
        <f t="shared" ref="AD21" ca="1" si="130">IF(E21="",0,$Z21)</f>
        <v>0</v>
      </c>
      <c r="AE21" s="2">
        <f t="shared" ref="AE21" ca="1" si="131">IF(F21="",0,$Z21)</f>
        <v>0</v>
      </c>
      <c r="AF21" s="2">
        <f t="shared" ref="AF21" ca="1" si="132">IF(G21="",0,$Z21)</f>
        <v>0</v>
      </c>
      <c r="AG21" s="2">
        <f t="shared" ref="AG21" ca="1" si="133">IF(H21="",0,$Z21)</f>
        <v>0</v>
      </c>
      <c r="AH21" s="2">
        <f t="shared" ref="AH21" ca="1" si="134">IF(I21="",0,$Z21)</f>
        <v>0</v>
      </c>
      <c r="AI21" s="2">
        <f t="shared" ref="AI21" ca="1" si="135">IF(J21="",0,$Z21)</f>
        <v>0</v>
      </c>
      <c r="AJ21" s="2">
        <f t="shared" ref="AJ21" ca="1" si="136">IF(K21="",0,$Z21)</f>
        <v>0</v>
      </c>
      <c r="AK21" s="2">
        <f t="shared" ref="AK21" ca="1" si="137">IF(L21="",0,$Z21)</f>
        <v>0</v>
      </c>
      <c r="AM21" s="2" t="s">
        <v>63</v>
      </c>
      <c r="AN21" s="2" t="s">
        <v>64</v>
      </c>
      <c r="AO21" s="2" t="s">
        <v>65</v>
      </c>
      <c r="AP21" s="2" t="s">
        <v>66</v>
      </c>
    </row>
    <row r="22" spans="1:45" x14ac:dyDescent="0.2">
      <c r="A22" s="2" t="s">
        <v>734</v>
      </c>
      <c r="B22" s="13" t="str">
        <f ca="1">IF(B$2=2017,DATE(B$2,10,31),"")</f>
        <v/>
      </c>
      <c r="C22" s="13" t="str">
        <f t="shared" ref="C22:G22" ca="1" si="138">IF(C$2=2017,DATE(C$2,10,31),"")</f>
        <v/>
      </c>
      <c r="D22" s="13" t="str">
        <f t="shared" ca="1" si="138"/>
        <v/>
      </c>
      <c r="E22" s="13" t="str">
        <f t="shared" ca="1" si="138"/>
        <v/>
      </c>
      <c r="F22" s="13" t="str">
        <f t="shared" ca="1" si="138"/>
        <v/>
      </c>
      <c r="G22" s="13" t="str">
        <f t="shared" ca="1" si="138"/>
        <v/>
      </c>
      <c r="H22" s="13" t="str">
        <f ca="1">IF(H$2=2017,DATE(H$2,10,31),"")</f>
        <v/>
      </c>
      <c r="I22" s="13" t="str">
        <f t="shared" ref="I22:L22" ca="1" si="139">IF(I$2=2017,DATE(I$2,10,31),"")</f>
        <v/>
      </c>
      <c r="J22" s="13" t="str">
        <f t="shared" ca="1" si="139"/>
        <v/>
      </c>
      <c r="K22" s="13" t="str">
        <f t="shared" ca="1" si="139"/>
        <v/>
      </c>
      <c r="L22" s="13" t="str">
        <f t="shared" ca="1" si="139"/>
        <v/>
      </c>
      <c r="N22" s="20">
        <v>1</v>
      </c>
      <c r="O22" s="20">
        <f ca="1">IF(B22="",0,IF(O23=1,2,$N22))</f>
        <v>0</v>
      </c>
      <c r="P22" s="20">
        <f t="shared" ref="P22:Y22" ca="1" si="140">IF(C22="",0,IF(P23=1,2,$N22))</f>
        <v>0</v>
      </c>
      <c r="Q22" s="20">
        <f t="shared" ca="1" si="140"/>
        <v>0</v>
      </c>
      <c r="R22" s="20">
        <f t="shared" ca="1" si="140"/>
        <v>0</v>
      </c>
      <c r="S22" s="20">
        <f t="shared" ca="1" si="140"/>
        <v>0</v>
      </c>
      <c r="T22" s="20">
        <f t="shared" ca="1" si="140"/>
        <v>0</v>
      </c>
      <c r="U22" s="20">
        <f t="shared" ca="1" si="140"/>
        <v>0</v>
      </c>
      <c r="V22" s="20">
        <f t="shared" ca="1" si="140"/>
        <v>0</v>
      </c>
      <c r="W22" s="20">
        <f t="shared" ca="1" si="140"/>
        <v>0</v>
      </c>
      <c r="X22" s="20">
        <f t="shared" ca="1" si="140"/>
        <v>0</v>
      </c>
      <c r="Y22" s="20">
        <f t="shared" ca="1" si="140"/>
        <v>0</v>
      </c>
      <c r="Z22" s="20">
        <v>1</v>
      </c>
      <c r="AA22" s="20">
        <f t="shared" ref="AA22" ca="1" si="141">IF(B22="",0,$Z22)</f>
        <v>0</v>
      </c>
      <c r="AB22" s="20">
        <f t="shared" ca="1" si="116"/>
        <v>0</v>
      </c>
      <c r="AC22" s="20">
        <f t="shared" ca="1" si="116"/>
        <v>0</v>
      </c>
      <c r="AD22" s="20">
        <f t="shared" ca="1" si="116"/>
        <v>0</v>
      </c>
      <c r="AE22" s="20">
        <f t="shared" ca="1" si="116"/>
        <v>0</v>
      </c>
      <c r="AF22" s="20">
        <f t="shared" ca="1" si="116"/>
        <v>0</v>
      </c>
      <c r="AG22" s="20">
        <f t="shared" ca="1" si="116"/>
        <v>0</v>
      </c>
      <c r="AH22" s="20">
        <f t="shared" ca="1" si="116"/>
        <v>0</v>
      </c>
      <c r="AI22" s="20">
        <f t="shared" ca="1" si="116"/>
        <v>0</v>
      </c>
      <c r="AJ22" s="20">
        <f t="shared" ca="1" si="116"/>
        <v>0</v>
      </c>
      <c r="AK22" s="20">
        <f t="shared" ca="1" si="116"/>
        <v>0</v>
      </c>
    </row>
    <row r="23" spans="1:45" x14ac:dyDescent="0.2">
      <c r="A23" s="2" t="s">
        <v>309</v>
      </c>
      <c r="B23" s="13">
        <f ca="1">DATE(B$2,11,1)</f>
        <v>44501</v>
      </c>
      <c r="C23" s="13">
        <f t="shared" ref="C23:L23" ca="1" si="142">DATE(C$2,11,1)</f>
        <v>44866</v>
      </c>
      <c r="D23" s="13">
        <f t="shared" ca="1" si="142"/>
        <v>45231</v>
      </c>
      <c r="E23" s="13">
        <f t="shared" ca="1" si="142"/>
        <v>45597</v>
      </c>
      <c r="F23" s="13">
        <f t="shared" ca="1" si="142"/>
        <v>45962</v>
      </c>
      <c r="G23" s="13">
        <f t="shared" ca="1" si="142"/>
        <v>46327</v>
      </c>
      <c r="H23" s="13">
        <f t="shared" ca="1" si="142"/>
        <v>46692</v>
      </c>
      <c r="I23" s="13">
        <f t="shared" ca="1" si="142"/>
        <v>47058</v>
      </c>
      <c r="J23" s="13">
        <f t="shared" ca="1" si="142"/>
        <v>47423</v>
      </c>
      <c r="K23" s="13">
        <f t="shared" ca="1" si="142"/>
        <v>47788</v>
      </c>
      <c r="L23" s="13">
        <f t="shared" ca="1" si="142"/>
        <v>48153</v>
      </c>
      <c r="N23" s="5">
        <f>COUNTIF($AM23:$AW23,Fristenrechner!$H$5)</f>
        <v>0</v>
      </c>
      <c r="O23" s="20">
        <f t="shared" si="90"/>
        <v>0</v>
      </c>
      <c r="P23" s="20">
        <f t="shared" si="90"/>
        <v>0</v>
      </c>
      <c r="Q23" s="20">
        <f t="shared" si="90"/>
        <v>0</v>
      </c>
      <c r="R23" s="20">
        <f t="shared" si="90"/>
        <v>0</v>
      </c>
      <c r="S23" s="20">
        <f t="shared" si="90"/>
        <v>0</v>
      </c>
      <c r="T23" s="20">
        <f t="shared" si="90"/>
        <v>0</v>
      </c>
      <c r="U23" s="20">
        <f t="shared" si="90"/>
        <v>0</v>
      </c>
      <c r="V23" s="20">
        <f t="shared" si="90"/>
        <v>0</v>
      </c>
      <c r="W23" s="20">
        <f t="shared" si="90"/>
        <v>0</v>
      </c>
      <c r="X23" s="20">
        <f t="shared" si="90"/>
        <v>0</v>
      </c>
      <c r="Y23" s="20">
        <f t="shared" si="90"/>
        <v>0</v>
      </c>
      <c r="Z23" s="5">
        <f>COUNTIF($AM23:$AW23,Fristenrechner!$H$5)</f>
        <v>0</v>
      </c>
      <c r="AA23" s="20">
        <f ca="1">IF(AND(AA22=1,$Z23=1),2,$Z23)</f>
        <v>0</v>
      </c>
      <c r="AB23" s="20">
        <f t="shared" ref="AB23:AK23" ca="1" si="143">IF(AND(AB22=1,$Z23=1),2,$Z23)</f>
        <v>0</v>
      </c>
      <c r="AC23" s="20">
        <f t="shared" ca="1" si="143"/>
        <v>0</v>
      </c>
      <c r="AD23" s="20">
        <f t="shared" ca="1" si="143"/>
        <v>0</v>
      </c>
      <c r="AE23" s="20">
        <f t="shared" ca="1" si="143"/>
        <v>0</v>
      </c>
      <c r="AF23" s="20">
        <f t="shared" ca="1" si="143"/>
        <v>0</v>
      </c>
      <c r="AG23" s="20">
        <f t="shared" ca="1" si="143"/>
        <v>0</v>
      </c>
      <c r="AH23" s="20">
        <f t="shared" ca="1" si="143"/>
        <v>0</v>
      </c>
      <c r="AI23" s="20">
        <f t="shared" ca="1" si="143"/>
        <v>0</v>
      </c>
      <c r="AJ23" s="20">
        <f t="shared" ca="1" si="143"/>
        <v>0</v>
      </c>
      <c r="AK23" s="20">
        <f t="shared" ca="1" si="143"/>
        <v>0</v>
      </c>
      <c r="AM23" s="2" t="s">
        <v>288</v>
      </c>
      <c r="AN23" s="2" t="s">
        <v>289</v>
      </c>
      <c r="AO23" s="2" t="s">
        <v>67</v>
      </c>
      <c r="AP23" s="2" t="s">
        <v>68</v>
      </c>
      <c r="AQ23" s="2" t="s">
        <v>298</v>
      </c>
      <c r="AR23" s="2" t="s">
        <v>299</v>
      </c>
      <c r="AS23" s="2" t="s">
        <v>300</v>
      </c>
    </row>
    <row r="24" spans="1:45" x14ac:dyDescent="0.2">
      <c r="A24" s="2" t="s">
        <v>310</v>
      </c>
      <c r="B24" s="14">
        <f ca="1">B27-14</f>
        <v>44514</v>
      </c>
      <c r="C24" s="14">
        <f t="shared" ref="C24:L24" ca="1" si="144">C27-14</f>
        <v>44878</v>
      </c>
      <c r="D24" s="14">
        <f t="shared" ca="1" si="144"/>
        <v>45249</v>
      </c>
      <c r="E24" s="14">
        <f t="shared" ca="1" si="144"/>
        <v>45613</v>
      </c>
      <c r="F24" s="14">
        <f t="shared" ca="1" si="144"/>
        <v>45977</v>
      </c>
      <c r="G24" s="14">
        <f t="shared" ca="1" si="144"/>
        <v>46341</v>
      </c>
      <c r="H24" s="14">
        <f t="shared" ca="1" si="144"/>
        <v>46705</v>
      </c>
      <c r="I24" s="14">
        <f t="shared" ca="1" si="144"/>
        <v>47076</v>
      </c>
      <c r="J24" s="14">
        <f t="shared" ca="1" si="144"/>
        <v>47440</v>
      </c>
      <c r="K24" s="14">
        <f t="shared" ca="1" si="144"/>
        <v>47804</v>
      </c>
      <c r="L24" s="14">
        <f t="shared" ca="1" si="144"/>
        <v>48168</v>
      </c>
      <c r="N24" s="2">
        <v>0</v>
      </c>
      <c r="O24" s="2">
        <f t="shared" si="90"/>
        <v>0</v>
      </c>
      <c r="P24" s="2">
        <f t="shared" si="90"/>
        <v>0</v>
      </c>
      <c r="Q24" s="2">
        <f t="shared" si="90"/>
        <v>0</v>
      </c>
      <c r="R24" s="2">
        <f t="shared" si="90"/>
        <v>0</v>
      </c>
      <c r="S24" s="2">
        <f t="shared" si="90"/>
        <v>0</v>
      </c>
      <c r="T24" s="2">
        <f t="shared" si="90"/>
        <v>0</v>
      </c>
      <c r="U24" s="2">
        <f t="shared" si="90"/>
        <v>0</v>
      </c>
      <c r="V24" s="2">
        <f t="shared" si="90"/>
        <v>0</v>
      </c>
      <c r="W24" s="2">
        <f t="shared" si="90"/>
        <v>0</v>
      </c>
      <c r="X24" s="2">
        <f t="shared" si="90"/>
        <v>0</v>
      </c>
      <c r="Y24" s="2">
        <f t="shared" si="90"/>
        <v>0</v>
      </c>
      <c r="Z24" s="2">
        <v>0</v>
      </c>
      <c r="AA24" s="2">
        <f t="shared" si="63"/>
        <v>0</v>
      </c>
      <c r="AB24" s="2">
        <f t="shared" si="64"/>
        <v>0</v>
      </c>
      <c r="AC24" s="2">
        <f t="shared" si="64"/>
        <v>0</v>
      </c>
      <c r="AD24" s="2">
        <f t="shared" si="64"/>
        <v>0</v>
      </c>
      <c r="AE24" s="2">
        <f t="shared" si="64"/>
        <v>0</v>
      </c>
      <c r="AF24" s="2">
        <f t="shared" si="64"/>
        <v>0</v>
      </c>
      <c r="AG24" s="2">
        <f t="shared" si="64"/>
        <v>0</v>
      </c>
      <c r="AH24" s="2">
        <f t="shared" si="64"/>
        <v>0</v>
      </c>
      <c r="AI24" s="2">
        <f t="shared" si="64"/>
        <v>0</v>
      </c>
      <c r="AJ24" s="2">
        <f t="shared" si="64"/>
        <v>0</v>
      </c>
      <c r="AK24" s="2">
        <f t="shared" si="64"/>
        <v>0</v>
      </c>
    </row>
    <row r="25" spans="1:45" x14ac:dyDescent="0.2">
      <c r="A25" s="2" t="s">
        <v>311</v>
      </c>
      <c r="B25" s="14">
        <f t="shared" ref="B25:L25" ca="1" si="145">B27-11</f>
        <v>44517</v>
      </c>
      <c r="C25" s="14">
        <f t="shared" ca="1" si="145"/>
        <v>44881</v>
      </c>
      <c r="D25" s="14">
        <f t="shared" ca="1" si="145"/>
        <v>45252</v>
      </c>
      <c r="E25" s="14">
        <f t="shared" ca="1" si="145"/>
        <v>45616</v>
      </c>
      <c r="F25" s="14">
        <f t="shared" ca="1" si="145"/>
        <v>45980</v>
      </c>
      <c r="G25" s="14">
        <f t="shared" ca="1" si="145"/>
        <v>46344</v>
      </c>
      <c r="H25" s="14">
        <f t="shared" ca="1" si="145"/>
        <v>46708</v>
      </c>
      <c r="I25" s="14">
        <f t="shared" ca="1" si="145"/>
        <v>47079</v>
      </c>
      <c r="J25" s="14">
        <f t="shared" ca="1" si="145"/>
        <v>47443</v>
      </c>
      <c r="K25" s="14">
        <f t="shared" ca="1" si="145"/>
        <v>47807</v>
      </c>
      <c r="L25" s="14">
        <f t="shared" ca="1" si="145"/>
        <v>48171</v>
      </c>
      <c r="N25" s="5">
        <f>COUNTIF($AM25:$AW25,Fristenrechner!$H$5)</f>
        <v>0</v>
      </c>
      <c r="O25" s="2">
        <f t="shared" si="90"/>
        <v>0</v>
      </c>
      <c r="P25" s="2">
        <f t="shared" si="90"/>
        <v>0</v>
      </c>
      <c r="Q25" s="2">
        <f t="shared" si="90"/>
        <v>0</v>
      </c>
      <c r="R25" s="2">
        <f t="shared" si="90"/>
        <v>0</v>
      </c>
      <c r="S25" s="2">
        <f t="shared" si="90"/>
        <v>0</v>
      </c>
      <c r="T25" s="2">
        <f t="shared" si="90"/>
        <v>0</v>
      </c>
      <c r="U25" s="2">
        <f t="shared" si="90"/>
        <v>0</v>
      </c>
      <c r="V25" s="2">
        <f t="shared" si="90"/>
        <v>0</v>
      </c>
      <c r="W25" s="2">
        <f t="shared" si="90"/>
        <v>0</v>
      </c>
      <c r="X25" s="2">
        <f t="shared" si="90"/>
        <v>0</v>
      </c>
      <c r="Y25" s="2">
        <f t="shared" si="90"/>
        <v>0</v>
      </c>
      <c r="Z25" s="5">
        <f>COUNTIF($AM25:$AW25,Fristenrechner!$H$5)</f>
        <v>0</v>
      </c>
      <c r="AA25" s="2">
        <f t="shared" si="63"/>
        <v>0</v>
      </c>
      <c r="AB25" s="2">
        <f t="shared" si="64"/>
        <v>0</v>
      </c>
      <c r="AC25" s="2">
        <f t="shared" si="64"/>
        <v>0</v>
      </c>
      <c r="AD25" s="2">
        <f t="shared" si="64"/>
        <v>0</v>
      </c>
      <c r="AE25" s="2">
        <f t="shared" si="64"/>
        <v>0</v>
      </c>
      <c r="AF25" s="2">
        <f t="shared" si="64"/>
        <v>0</v>
      </c>
      <c r="AG25" s="2">
        <f t="shared" si="64"/>
        <v>0</v>
      </c>
      <c r="AH25" s="2">
        <f t="shared" si="64"/>
        <v>0</v>
      </c>
      <c r="AI25" s="2">
        <f t="shared" si="64"/>
        <v>0</v>
      </c>
      <c r="AJ25" s="2">
        <f t="shared" si="64"/>
        <v>0</v>
      </c>
      <c r="AK25" s="2">
        <f t="shared" si="64"/>
        <v>0</v>
      </c>
      <c r="AM25" s="2" t="s">
        <v>307</v>
      </c>
      <c r="AN25" s="2" t="s">
        <v>62</v>
      </c>
    </row>
    <row r="26" spans="1:45" x14ac:dyDescent="0.2">
      <c r="A26" s="2" t="s">
        <v>312</v>
      </c>
      <c r="B26" s="14">
        <f t="shared" ref="B26:L26" ca="1" si="146">B27-7</f>
        <v>44521</v>
      </c>
      <c r="C26" s="14">
        <f t="shared" ca="1" si="146"/>
        <v>44885</v>
      </c>
      <c r="D26" s="14">
        <f t="shared" ca="1" si="146"/>
        <v>45256</v>
      </c>
      <c r="E26" s="14">
        <f t="shared" ca="1" si="146"/>
        <v>45620</v>
      </c>
      <c r="F26" s="14">
        <f t="shared" ca="1" si="146"/>
        <v>45984</v>
      </c>
      <c r="G26" s="14">
        <f t="shared" ca="1" si="146"/>
        <v>46348</v>
      </c>
      <c r="H26" s="14">
        <f t="shared" ca="1" si="146"/>
        <v>46712</v>
      </c>
      <c r="I26" s="14">
        <f t="shared" ca="1" si="146"/>
        <v>47083</v>
      </c>
      <c r="J26" s="14">
        <f t="shared" ca="1" si="146"/>
        <v>47447</v>
      </c>
      <c r="K26" s="14">
        <f t="shared" ca="1" si="146"/>
        <v>47811</v>
      </c>
      <c r="L26" s="14">
        <f t="shared" ca="1" si="146"/>
        <v>48175</v>
      </c>
      <c r="N26" s="2">
        <v>0</v>
      </c>
      <c r="O26" s="2">
        <f t="shared" si="90"/>
        <v>0</v>
      </c>
      <c r="P26" s="2">
        <f t="shared" si="90"/>
        <v>0</v>
      </c>
      <c r="Q26" s="2">
        <f t="shared" si="90"/>
        <v>0</v>
      </c>
      <c r="R26" s="2">
        <f t="shared" si="90"/>
        <v>0</v>
      </c>
      <c r="S26" s="2">
        <f t="shared" si="90"/>
        <v>0</v>
      </c>
      <c r="T26" s="2">
        <f t="shared" si="90"/>
        <v>0</v>
      </c>
      <c r="U26" s="2">
        <f t="shared" si="90"/>
        <v>0</v>
      </c>
      <c r="V26" s="2">
        <f t="shared" si="90"/>
        <v>0</v>
      </c>
      <c r="W26" s="2">
        <f t="shared" si="90"/>
        <v>0</v>
      </c>
      <c r="X26" s="2">
        <f t="shared" si="90"/>
        <v>0</v>
      </c>
      <c r="Y26" s="2">
        <f t="shared" si="90"/>
        <v>0</v>
      </c>
      <c r="Z26" s="2">
        <v>0</v>
      </c>
      <c r="AA26" s="2">
        <f t="shared" si="63"/>
        <v>0</v>
      </c>
      <c r="AB26" s="2">
        <f t="shared" si="64"/>
        <v>0</v>
      </c>
      <c r="AC26" s="2">
        <f t="shared" si="64"/>
        <v>0</v>
      </c>
      <c r="AD26" s="2">
        <f t="shared" si="64"/>
        <v>0</v>
      </c>
      <c r="AE26" s="2">
        <f t="shared" si="64"/>
        <v>0</v>
      </c>
      <c r="AF26" s="2">
        <f t="shared" si="64"/>
        <v>0</v>
      </c>
      <c r="AG26" s="2">
        <f t="shared" si="64"/>
        <v>0</v>
      </c>
      <c r="AH26" s="2">
        <f t="shared" si="64"/>
        <v>0</v>
      </c>
      <c r="AI26" s="2">
        <f t="shared" si="64"/>
        <v>0</v>
      </c>
      <c r="AJ26" s="2">
        <f t="shared" si="64"/>
        <v>0</v>
      </c>
      <c r="AK26" s="2">
        <f t="shared" si="64"/>
        <v>0</v>
      </c>
    </row>
    <row r="27" spans="1:45" x14ac:dyDescent="0.2">
      <c r="A27" s="2" t="s">
        <v>313</v>
      </c>
      <c r="B27" s="14">
        <f ca="1">DATE(B2,12,25)-WEEKDAY(DATE(B2,12,25),2)-21</f>
        <v>44528</v>
      </c>
      <c r="C27" s="14">
        <f t="shared" ref="C27:L27" ca="1" si="147">DATE(C$2,12,25)-WEEKDAY(DATE(C$2,12,25),2)-21</f>
        <v>44892</v>
      </c>
      <c r="D27" s="14">
        <f t="shared" ca="1" si="147"/>
        <v>45263</v>
      </c>
      <c r="E27" s="14">
        <f t="shared" ca="1" si="147"/>
        <v>45627</v>
      </c>
      <c r="F27" s="14">
        <f t="shared" ca="1" si="147"/>
        <v>45991</v>
      </c>
      <c r="G27" s="14">
        <f t="shared" ca="1" si="147"/>
        <v>46355</v>
      </c>
      <c r="H27" s="14">
        <f t="shared" ca="1" si="147"/>
        <v>46719</v>
      </c>
      <c r="I27" s="14">
        <f t="shared" ca="1" si="147"/>
        <v>47090</v>
      </c>
      <c r="J27" s="14">
        <f t="shared" ca="1" si="147"/>
        <v>47454</v>
      </c>
      <c r="K27" s="14">
        <f t="shared" ca="1" si="147"/>
        <v>47818</v>
      </c>
      <c r="L27" s="14">
        <f t="shared" ca="1" si="147"/>
        <v>48182</v>
      </c>
      <c r="N27" s="2">
        <v>0</v>
      </c>
      <c r="O27" s="2">
        <f t="shared" si="90"/>
        <v>0</v>
      </c>
      <c r="P27" s="2">
        <f t="shared" si="90"/>
        <v>0</v>
      </c>
      <c r="Q27" s="2">
        <f t="shared" si="90"/>
        <v>0</v>
      </c>
      <c r="R27" s="2">
        <f t="shared" si="90"/>
        <v>0</v>
      </c>
      <c r="S27" s="2">
        <f t="shared" si="90"/>
        <v>0</v>
      </c>
      <c r="T27" s="2">
        <f t="shared" si="90"/>
        <v>0</v>
      </c>
      <c r="U27" s="2">
        <f t="shared" si="90"/>
        <v>0</v>
      </c>
      <c r="V27" s="2">
        <f t="shared" si="90"/>
        <v>0</v>
      </c>
      <c r="W27" s="2">
        <f t="shared" si="90"/>
        <v>0</v>
      </c>
      <c r="X27" s="2">
        <f t="shared" si="90"/>
        <v>0</v>
      </c>
      <c r="Y27" s="2">
        <f t="shared" si="90"/>
        <v>0</v>
      </c>
      <c r="Z27" s="2">
        <v>0</v>
      </c>
      <c r="AA27" s="2">
        <f t="shared" si="63"/>
        <v>0</v>
      </c>
      <c r="AB27" s="2">
        <f t="shared" si="64"/>
        <v>0</v>
      </c>
      <c r="AC27" s="2">
        <f t="shared" si="64"/>
        <v>0</v>
      </c>
      <c r="AD27" s="2">
        <f t="shared" si="64"/>
        <v>0</v>
      </c>
      <c r="AE27" s="2">
        <f t="shared" si="64"/>
        <v>0</v>
      </c>
      <c r="AF27" s="2">
        <f t="shared" si="64"/>
        <v>0</v>
      </c>
      <c r="AG27" s="2">
        <f t="shared" si="64"/>
        <v>0</v>
      </c>
      <c r="AH27" s="2">
        <f t="shared" si="64"/>
        <v>0</v>
      </c>
      <c r="AI27" s="2">
        <f t="shared" si="64"/>
        <v>0</v>
      </c>
      <c r="AJ27" s="2">
        <f t="shared" si="64"/>
        <v>0</v>
      </c>
      <c r="AK27" s="2">
        <f t="shared" si="64"/>
        <v>0</v>
      </c>
    </row>
    <row r="28" spans="1:45" x14ac:dyDescent="0.2">
      <c r="A28" s="2" t="s">
        <v>314</v>
      </c>
      <c r="B28" s="13">
        <f ca="1">DATE(B$2,12,25)</f>
        <v>44555</v>
      </c>
      <c r="C28" s="13">
        <f t="shared" ref="C28:L28" ca="1" si="148">DATE(C$2,12,25)</f>
        <v>44920</v>
      </c>
      <c r="D28" s="13">
        <f t="shared" ca="1" si="148"/>
        <v>45285</v>
      </c>
      <c r="E28" s="13">
        <f t="shared" ca="1" si="148"/>
        <v>45651</v>
      </c>
      <c r="F28" s="13">
        <f t="shared" ca="1" si="148"/>
        <v>46016</v>
      </c>
      <c r="G28" s="13">
        <f t="shared" ca="1" si="148"/>
        <v>46381</v>
      </c>
      <c r="H28" s="13">
        <f t="shared" ca="1" si="148"/>
        <v>46746</v>
      </c>
      <c r="I28" s="13">
        <f t="shared" ca="1" si="148"/>
        <v>47112</v>
      </c>
      <c r="J28" s="13">
        <f t="shared" ca="1" si="148"/>
        <v>47477</v>
      </c>
      <c r="K28" s="13">
        <f t="shared" ca="1" si="148"/>
        <v>47842</v>
      </c>
      <c r="L28" s="13">
        <f t="shared" ca="1" si="148"/>
        <v>48207</v>
      </c>
      <c r="N28" s="2">
        <v>2</v>
      </c>
      <c r="O28" s="2">
        <f t="shared" si="90"/>
        <v>2</v>
      </c>
      <c r="P28" s="2">
        <f t="shared" si="90"/>
        <v>2</v>
      </c>
      <c r="Q28" s="2">
        <f t="shared" si="90"/>
        <v>2</v>
      </c>
      <c r="R28" s="2">
        <f t="shared" si="90"/>
        <v>2</v>
      </c>
      <c r="S28" s="2">
        <f t="shared" si="90"/>
        <v>2</v>
      </c>
      <c r="T28" s="2">
        <f t="shared" si="90"/>
        <v>2</v>
      </c>
      <c r="U28" s="2">
        <f t="shared" si="90"/>
        <v>2</v>
      </c>
      <c r="V28" s="2">
        <f t="shared" si="90"/>
        <v>2</v>
      </c>
      <c r="W28" s="2">
        <f t="shared" si="90"/>
        <v>2</v>
      </c>
      <c r="X28" s="2">
        <f t="shared" si="90"/>
        <v>2</v>
      </c>
      <c r="Y28" s="2">
        <f t="shared" si="90"/>
        <v>2</v>
      </c>
      <c r="Z28" s="2">
        <v>1</v>
      </c>
      <c r="AA28" s="2">
        <f t="shared" si="63"/>
        <v>1</v>
      </c>
      <c r="AB28" s="2">
        <f t="shared" si="64"/>
        <v>1</v>
      </c>
      <c r="AC28" s="2">
        <f t="shared" si="64"/>
        <v>1</v>
      </c>
      <c r="AD28" s="2">
        <f t="shared" si="64"/>
        <v>1</v>
      </c>
      <c r="AE28" s="2">
        <f t="shared" si="64"/>
        <v>1</v>
      </c>
      <c r="AF28" s="2">
        <f t="shared" si="64"/>
        <v>1</v>
      </c>
      <c r="AG28" s="2">
        <f t="shared" si="64"/>
        <v>1</v>
      </c>
      <c r="AH28" s="2">
        <f t="shared" si="64"/>
        <v>1</v>
      </c>
      <c r="AI28" s="2">
        <f t="shared" si="64"/>
        <v>1</v>
      </c>
      <c r="AJ28" s="2">
        <f t="shared" si="64"/>
        <v>1</v>
      </c>
      <c r="AK28" s="2">
        <f t="shared" si="64"/>
        <v>1</v>
      </c>
    </row>
    <row r="29" spans="1:45" x14ac:dyDescent="0.2">
      <c r="A29" s="2" t="s">
        <v>315</v>
      </c>
      <c r="B29" s="13">
        <f ca="1">DATE(B$2,12,26)</f>
        <v>44556</v>
      </c>
      <c r="C29" s="13">
        <f t="shared" ref="C29:L29" ca="1" si="149">DATE(C$2,12,26)</f>
        <v>44921</v>
      </c>
      <c r="D29" s="13">
        <f t="shared" ca="1" si="149"/>
        <v>45286</v>
      </c>
      <c r="E29" s="13">
        <f t="shared" ca="1" si="149"/>
        <v>45652</v>
      </c>
      <c r="F29" s="13">
        <f t="shared" ca="1" si="149"/>
        <v>46017</v>
      </c>
      <c r="G29" s="13">
        <f t="shared" ca="1" si="149"/>
        <v>46382</v>
      </c>
      <c r="H29" s="13">
        <f t="shared" ca="1" si="149"/>
        <v>46747</v>
      </c>
      <c r="I29" s="13">
        <f t="shared" ca="1" si="149"/>
        <v>47113</v>
      </c>
      <c r="J29" s="13">
        <f t="shared" ca="1" si="149"/>
        <v>47478</v>
      </c>
      <c r="K29" s="13">
        <f t="shared" ca="1" si="149"/>
        <v>47843</v>
      </c>
      <c r="L29" s="13">
        <f t="shared" ca="1" si="149"/>
        <v>48208</v>
      </c>
      <c r="N29" s="2">
        <v>1</v>
      </c>
      <c r="O29" s="2">
        <f t="shared" si="90"/>
        <v>1</v>
      </c>
      <c r="P29" s="2">
        <f t="shared" si="90"/>
        <v>1</v>
      </c>
      <c r="Q29" s="2">
        <f t="shared" si="90"/>
        <v>1</v>
      </c>
      <c r="R29" s="2">
        <f t="shared" si="90"/>
        <v>1</v>
      </c>
      <c r="S29" s="2">
        <f t="shared" si="90"/>
        <v>1</v>
      </c>
      <c r="T29" s="2">
        <f t="shared" si="90"/>
        <v>1</v>
      </c>
      <c r="U29" s="2">
        <f t="shared" si="90"/>
        <v>1</v>
      </c>
      <c r="V29" s="2">
        <f t="shared" si="90"/>
        <v>1</v>
      </c>
      <c r="W29" s="2">
        <f t="shared" si="90"/>
        <v>1</v>
      </c>
      <c r="X29" s="2">
        <f t="shared" si="90"/>
        <v>1</v>
      </c>
      <c r="Y29" s="2">
        <f t="shared" si="90"/>
        <v>1</v>
      </c>
      <c r="Z29" s="2">
        <v>2</v>
      </c>
      <c r="AA29" s="2">
        <f t="shared" si="63"/>
        <v>2</v>
      </c>
      <c r="AB29" s="2">
        <f t="shared" si="64"/>
        <v>2</v>
      </c>
      <c r="AC29" s="2">
        <f t="shared" si="64"/>
        <v>2</v>
      </c>
      <c r="AD29" s="2">
        <f t="shared" si="64"/>
        <v>2</v>
      </c>
      <c r="AE29" s="2">
        <f t="shared" si="64"/>
        <v>2</v>
      </c>
      <c r="AF29" s="2">
        <f t="shared" si="64"/>
        <v>2</v>
      </c>
      <c r="AG29" s="2">
        <f t="shared" si="64"/>
        <v>2</v>
      </c>
      <c r="AH29" s="2">
        <f t="shared" si="64"/>
        <v>2</v>
      </c>
      <c r="AI29" s="2">
        <f t="shared" si="64"/>
        <v>2</v>
      </c>
      <c r="AJ29" s="2">
        <f t="shared" si="64"/>
        <v>2</v>
      </c>
      <c r="AK29" s="2">
        <f t="shared" si="64"/>
        <v>2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verticalDpi="59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IT90"/>
  <sheetViews>
    <sheetView workbookViewId="0">
      <pane ySplit="7" topLeftCell="A8" activePane="bottomLeft" state="frozen"/>
      <selection pane="bottomLeft" activeCell="C4" sqref="C4"/>
    </sheetView>
  </sheetViews>
  <sheetFormatPr baseColWidth="10" defaultColWidth="11.42578125" defaultRowHeight="12.75" x14ac:dyDescent="0.2"/>
  <cols>
    <col min="1" max="1" width="2.7109375" style="588" customWidth="1"/>
    <col min="2" max="2" width="53" style="588" customWidth="1"/>
    <col min="3" max="3" width="13.42578125" style="588" bestFit="1" customWidth="1"/>
    <col min="4" max="4" width="6.5703125" style="588" customWidth="1"/>
    <col min="5" max="5" width="12" style="588" bestFit="1" customWidth="1"/>
    <col min="6" max="6" width="4" style="588" bestFit="1" customWidth="1"/>
    <col min="7" max="10" width="12" style="588" customWidth="1"/>
    <col min="11" max="11" width="11.42578125" style="588"/>
    <col min="12" max="12" width="0" style="596" hidden="1" customWidth="1"/>
    <col min="13" max="13" width="11.5703125" style="596" hidden="1" customWidth="1"/>
    <col min="14" max="14" width="0" style="601" hidden="1" customWidth="1"/>
    <col min="15" max="16384" width="11.42578125" style="588"/>
  </cols>
  <sheetData>
    <row r="1" spans="1:254" ht="13.5" thickBot="1" x14ac:dyDescent="0.25">
      <c r="B1" s="48" t="s">
        <v>144</v>
      </c>
      <c r="C1" s="49"/>
      <c r="D1" s="49"/>
      <c r="E1" s="49"/>
      <c r="F1" s="49"/>
      <c r="G1" s="49"/>
      <c r="H1" s="49"/>
      <c r="I1" s="49"/>
      <c r="J1" s="49"/>
      <c r="L1" s="595" t="s">
        <v>636</v>
      </c>
      <c r="M1" s="595" t="s">
        <v>479</v>
      </c>
      <c r="N1" s="601" t="s">
        <v>638</v>
      </c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2">
      <c r="B2" s="50" t="s">
        <v>391</v>
      </c>
      <c r="C2" s="49"/>
      <c r="D2" s="49"/>
      <c r="E2" s="49"/>
      <c r="F2" s="49"/>
      <c r="G2" s="49"/>
      <c r="H2" s="49"/>
      <c r="I2" s="49"/>
      <c r="J2" s="49"/>
      <c r="L2" s="595"/>
      <c r="M2" s="595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</row>
    <row r="3" spans="1:254" ht="13.5" thickBot="1" x14ac:dyDescent="0.25">
      <c r="B3" s="51"/>
    </row>
    <row r="4" spans="1:254" ht="13.5" thickBot="1" x14ac:dyDescent="0.25">
      <c r="A4" s="52" t="s">
        <v>360</v>
      </c>
      <c r="B4" s="53" t="s">
        <v>412</v>
      </c>
      <c r="C4" s="599">
        <v>10000</v>
      </c>
      <c r="E4" s="49"/>
      <c r="H4" s="54" t="s">
        <v>385</v>
      </c>
      <c r="I4" s="784" t="s">
        <v>505</v>
      </c>
      <c r="J4" s="785"/>
      <c r="L4" s="596" t="b">
        <f>IF(OR(ISERROR(C4),ISTEXT(C4)),FALSE,NOT(OR(C4&lt;0,C4="")))</f>
        <v>1</v>
      </c>
    </row>
    <row r="5" spans="1:254" x14ac:dyDescent="0.2">
      <c r="B5" s="55" t="s">
        <v>99</v>
      </c>
      <c r="C5" s="695">
        <v>0.19</v>
      </c>
      <c r="E5" s="49"/>
      <c r="L5" s="596" t="b">
        <f>IF(OR(ISERROR(C5),ISTEXT(C5)),FALSE,NOT(OR(C5&lt;0,C5&gt;1,C5="",C5-ROUNDDOWN(C5,3)&gt;0)))</f>
        <v>1</v>
      </c>
    </row>
    <row r="6" spans="1:254" ht="13.5" thickBot="1" x14ac:dyDescent="0.25">
      <c r="B6" s="56" t="s">
        <v>484</v>
      </c>
      <c r="C6" s="57" t="s">
        <v>872</v>
      </c>
      <c r="E6" s="49"/>
      <c r="L6" s="596" t="b">
        <f t="array" aca="1" ref="L6" ca="1">IF(AND(C6="heute",TODAY()&lt;DATE(2021,1,1)),FALSE,OR(EXACT(C6,N9:N13)))</f>
        <v>1</v>
      </c>
    </row>
    <row r="7" spans="1:254" x14ac:dyDescent="0.2">
      <c r="B7" s="51"/>
      <c r="C7" s="58"/>
    </row>
    <row r="8" spans="1:254" ht="13.5" thickBot="1" x14ac:dyDescent="0.25">
      <c r="B8" s="51"/>
      <c r="C8" s="58"/>
    </row>
    <row r="9" spans="1:254" ht="13.5" thickBot="1" x14ac:dyDescent="0.25">
      <c r="A9" s="59" t="s">
        <v>28</v>
      </c>
      <c r="B9" s="584" t="s">
        <v>111</v>
      </c>
      <c r="C9" s="60"/>
      <c r="D9" s="585"/>
      <c r="E9" s="585"/>
      <c r="F9" s="61"/>
      <c r="N9" s="601" t="s">
        <v>145</v>
      </c>
    </row>
    <row r="10" spans="1:254" x14ac:dyDescent="0.2">
      <c r="B10" s="62" t="s">
        <v>416</v>
      </c>
      <c r="C10" s="63">
        <f ca="1">IF(AND($L$4,$L$6),HF_PKR!E20,"")</f>
        <v>10000</v>
      </c>
      <c r="D10" s="64"/>
      <c r="E10" s="64"/>
      <c r="F10" s="65"/>
      <c r="N10" s="601" t="s">
        <v>777</v>
      </c>
    </row>
    <row r="11" spans="1:254" x14ac:dyDescent="0.2">
      <c r="B11" s="62" t="s">
        <v>673</v>
      </c>
      <c r="C11" s="66">
        <f ca="1">IF($C$10&lt;&gt;"",HF_PKR!E22,"")</f>
        <v>10000</v>
      </c>
      <c r="D11" s="64"/>
      <c r="E11" s="64"/>
      <c r="F11" s="65"/>
      <c r="H11" s="67"/>
      <c r="N11" s="601" t="s">
        <v>871</v>
      </c>
    </row>
    <row r="12" spans="1:254" x14ac:dyDescent="0.2">
      <c r="B12" s="68" t="s">
        <v>72</v>
      </c>
      <c r="C12" s="69"/>
      <c r="D12" s="64"/>
      <c r="E12" s="70">
        <f ca="1">IF($C$10&lt;&gt;"",HF_PKR!E23,"")</f>
        <v>283</v>
      </c>
      <c r="F12" s="65"/>
      <c r="N12" s="601" t="s">
        <v>872</v>
      </c>
    </row>
    <row r="13" spans="1:254" x14ac:dyDescent="0.2">
      <c r="B13" s="68" t="s">
        <v>143</v>
      </c>
      <c r="C13" s="69"/>
      <c r="D13" s="71" t="s">
        <v>103</v>
      </c>
      <c r="E13" s="71" t="s">
        <v>140</v>
      </c>
      <c r="F13" s="72" t="s">
        <v>439</v>
      </c>
      <c r="N13" s="601" t="s">
        <v>637</v>
      </c>
    </row>
    <row r="14" spans="1:254" x14ac:dyDescent="0.2">
      <c r="B14" s="73"/>
      <c r="C14" s="74"/>
      <c r="D14" s="691"/>
      <c r="E14" s="66" t="str">
        <f ca="1">IF(AND($C$10&lt;&gt;"",L14),IF(D14&gt;0,MAX(E$12*D14,HF_PKR!$E$21),""),"")</f>
        <v/>
      </c>
      <c r="F14" s="75"/>
      <c r="H14" s="76"/>
      <c r="L14" s="596" t="b">
        <f>IF(OR(ISERROR(D14),ISTEXT(D14)),FALSE,NOT(OR(AND(D14&lt;=0,D14&lt;&gt;""),D14-ROUNDDOWN(D14,1)&gt;0,AND(D14="",M14=TRUE))))</f>
        <v>1</v>
      </c>
      <c r="M14" s="597" t="b">
        <v>0</v>
      </c>
    </row>
    <row r="15" spans="1:254" x14ac:dyDescent="0.2">
      <c r="B15" s="68" t="s">
        <v>126</v>
      </c>
      <c r="C15" s="74"/>
      <c r="D15" s="71" t="s">
        <v>103</v>
      </c>
      <c r="E15" s="71" t="s">
        <v>140</v>
      </c>
      <c r="F15" s="72" t="s">
        <v>439</v>
      </c>
    </row>
    <row r="16" spans="1:254" x14ac:dyDescent="0.2">
      <c r="B16" s="62" t="s">
        <v>114</v>
      </c>
      <c r="C16" s="74"/>
      <c r="D16" s="77">
        <v>3</v>
      </c>
      <c r="E16" s="66">
        <f ca="1">IF($C$10&lt;&gt;"",MAX(E$12*D16,HF_PKR!$E$21),"")</f>
        <v>849</v>
      </c>
      <c r="F16" s="75"/>
      <c r="M16" s="597" t="b">
        <v>1</v>
      </c>
    </row>
    <row r="17" spans="1:13" x14ac:dyDescent="0.2">
      <c r="B17" s="62" t="s">
        <v>117</v>
      </c>
      <c r="C17" s="74"/>
      <c r="D17" s="77">
        <v>1</v>
      </c>
      <c r="E17" s="66">
        <f ca="1">IF($C$10&lt;&gt;"",MAX(E$12*D17,HF_PKR!$E$21),"")</f>
        <v>283</v>
      </c>
      <c r="F17" s="75"/>
      <c r="M17" s="597" t="b">
        <v>0</v>
      </c>
    </row>
    <row r="18" spans="1:13" x14ac:dyDescent="0.2">
      <c r="B18" s="62" t="s">
        <v>118</v>
      </c>
      <c r="C18" s="74"/>
      <c r="D18" s="77">
        <v>4</v>
      </c>
      <c r="E18" s="66">
        <f ca="1">IF($C$10&lt;&gt;"",MAX(E$12*D18,HF_PKR!$E$21),"")</f>
        <v>1132</v>
      </c>
      <c r="F18" s="75"/>
      <c r="H18" s="67"/>
      <c r="M18" s="597" t="b">
        <v>0</v>
      </c>
    </row>
    <row r="19" spans="1:13" x14ac:dyDescent="0.2">
      <c r="B19" s="62" t="s">
        <v>634</v>
      </c>
      <c r="C19" s="74"/>
      <c r="D19" s="77">
        <v>2</v>
      </c>
      <c r="E19" s="66">
        <f ca="1">IF($C$10&lt;&gt;"",MAX(E$12*D19,HF_PKR!$E$21),"")</f>
        <v>566</v>
      </c>
      <c r="F19" s="75"/>
      <c r="M19" s="597" t="b">
        <v>0</v>
      </c>
    </row>
    <row r="20" spans="1:13" x14ac:dyDescent="0.2">
      <c r="B20" s="62" t="s">
        <v>119</v>
      </c>
      <c r="C20" s="74"/>
      <c r="D20" s="77">
        <v>5</v>
      </c>
      <c r="E20" s="66">
        <f ca="1">IF($C$10&lt;&gt;"",MAX(E$12*D20,HF_PKR!$E$21),"")</f>
        <v>1415</v>
      </c>
      <c r="F20" s="75"/>
      <c r="M20" s="597" t="b">
        <v>0</v>
      </c>
    </row>
    <row r="21" spans="1:13" x14ac:dyDescent="0.2">
      <c r="B21" s="62" t="s">
        <v>552</v>
      </c>
      <c r="C21" s="74"/>
      <c r="D21" s="77">
        <v>1</v>
      </c>
      <c r="E21" s="66">
        <f ca="1">IF($C$10&lt;&gt;"",MAX(E$12*D21,HF_PKR!$E$21),"")</f>
        <v>283</v>
      </c>
      <c r="F21" s="75"/>
      <c r="M21" s="597" t="b">
        <v>0</v>
      </c>
    </row>
    <row r="22" spans="1:13" ht="13.5" thickBot="1" x14ac:dyDescent="0.25">
      <c r="B22" s="78" t="s">
        <v>134</v>
      </c>
      <c r="C22" s="79"/>
      <c r="D22" s="80"/>
      <c r="E22" s="81">
        <f ca="1">IF($C$10&lt;&gt;"",SUMIF(M14,TRUE,E14)+SUMIF(M16:M21,TRUE,E16:E21),"")</f>
        <v>849</v>
      </c>
      <c r="F22" s="82"/>
    </row>
    <row r="23" spans="1:13" ht="13.5" thickBot="1" x14ac:dyDescent="0.25">
      <c r="B23" s="51"/>
      <c r="C23" s="83"/>
    </row>
    <row r="24" spans="1:13" ht="13.5" thickBot="1" x14ac:dyDescent="0.25">
      <c r="A24" s="84" t="s">
        <v>29</v>
      </c>
      <c r="B24" s="85" t="s">
        <v>141</v>
      </c>
      <c r="C24" s="86"/>
      <c r="D24" s="86"/>
      <c r="E24" s="86"/>
      <c r="F24" s="86"/>
      <c r="G24" s="86"/>
      <c r="H24" s="86"/>
      <c r="I24" s="86"/>
      <c r="J24" s="87"/>
    </row>
    <row r="25" spans="1:13" x14ac:dyDescent="0.2">
      <c r="B25" s="88" t="s">
        <v>488</v>
      </c>
      <c r="C25" s="89">
        <f ca="1">IF(AND($L$4,$L$6),HF_PKR!E42,"")</f>
        <v>10000</v>
      </c>
      <c r="D25" s="90"/>
      <c r="E25" s="90"/>
      <c r="F25" s="90"/>
      <c r="G25" s="90"/>
      <c r="H25" s="90"/>
      <c r="I25" s="90"/>
      <c r="J25" s="589"/>
    </row>
    <row r="26" spans="1:13" x14ac:dyDescent="0.2">
      <c r="B26" s="88" t="s">
        <v>621</v>
      </c>
      <c r="C26" s="91">
        <f ca="1">IF($C$25&lt;&gt;"",HF_PKR!E44,"")</f>
        <v>10000</v>
      </c>
      <c r="D26" s="90"/>
      <c r="E26" s="90"/>
      <c r="F26" s="90"/>
      <c r="G26" s="90"/>
      <c r="H26" s="90"/>
      <c r="I26" s="90"/>
      <c r="J26" s="589"/>
    </row>
    <row r="27" spans="1:13" x14ac:dyDescent="0.2">
      <c r="B27" s="92" t="s">
        <v>73</v>
      </c>
      <c r="C27" s="90"/>
      <c r="D27" s="90"/>
      <c r="E27" s="93">
        <f ca="1">IF($C$25&lt;&gt;"",HF_PKR!E45,"")</f>
        <v>652</v>
      </c>
      <c r="F27" s="90"/>
      <c r="G27" s="90"/>
      <c r="H27" s="90"/>
      <c r="I27" s="90"/>
      <c r="J27" s="589"/>
    </row>
    <row r="28" spans="1:13" x14ac:dyDescent="0.2">
      <c r="B28" s="92" t="s">
        <v>143</v>
      </c>
      <c r="C28" s="94"/>
      <c r="D28" s="586" t="s">
        <v>103</v>
      </c>
      <c r="E28" s="586" t="s">
        <v>140</v>
      </c>
      <c r="F28" s="586" t="s">
        <v>439</v>
      </c>
      <c r="G28" s="94" t="s">
        <v>130</v>
      </c>
      <c r="H28" s="94" t="s">
        <v>131</v>
      </c>
      <c r="I28" s="94" t="s">
        <v>132</v>
      </c>
      <c r="J28" s="95" t="s">
        <v>133</v>
      </c>
    </row>
    <row r="29" spans="1:13" x14ac:dyDescent="0.2">
      <c r="B29" s="96"/>
      <c r="C29" s="90"/>
      <c r="D29" s="692"/>
      <c r="E29" s="91" t="str">
        <f ca="1">IF(AND($C$25&lt;&gt;"",L29),IF(D29&gt;0,MAX(E$27*D29,HF_PKR!$E$43),""),"")</f>
        <v/>
      </c>
      <c r="F29" s="94"/>
      <c r="G29" s="93" t="str">
        <f ca="1">IF(E29&lt;&gt;"",MIN(E29*0.2,20),"")</f>
        <v/>
      </c>
      <c r="H29" s="93" t="str">
        <f ca="1">IF(AND($L$5,E29&lt;&gt;""),I29*C$5,"")</f>
        <v/>
      </c>
      <c r="I29" s="89" t="str">
        <f ca="1">IF(E29&lt;&gt;"",SUM(E29,G29),"")</f>
        <v/>
      </c>
      <c r="J29" s="97" t="str">
        <f ca="1">IF(H29&lt;&gt;"",SUM(I29,H29),"")</f>
        <v/>
      </c>
      <c r="L29" s="596" t="b">
        <f>IF(OR(ISERROR(D29),ISTEXT(D29)),FALSE,NOT(OR(AND(D29&lt;=0,D29&lt;&gt;""),D29-ROUNDDOWN(D29,2)&gt;0,AND(D29="",M29=TRUE))))</f>
        <v>1</v>
      </c>
      <c r="M29" s="597" t="b">
        <v>0</v>
      </c>
    </row>
    <row r="30" spans="1:13" x14ac:dyDescent="0.2">
      <c r="B30" s="98"/>
      <c r="C30" s="90"/>
      <c r="D30" s="693"/>
      <c r="E30" s="91" t="str">
        <f ca="1">IF(AND($C$25&lt;&gt;"",L30),IF(D30&gt;0,MAX(E$27*D30,HF_PKR!$E$43),""),"")</f>
        <v/>
      </c>
      <c r="F30" s="94"/>
      <c r="G30" s="93" t="str">
        <f t="shared" ref="G30:G43" ca="1" si="0">IF(E30&lt;&gt;"",MIN(E30*0.2,20),"")</f>
        <v/>
      </c>
      <c r="H30" s="93" t="str">
        <f t="shared" ref="H30:H43" ca="1" si="1">IF(AND($L$5,E30&lt;&gt;""),I30*C$5,"")</f>
        <v/>
      </c>
      <c r="I30" s="89" t="str">
        <f t="shared" ref="I30:I43" ca="1" si="2">IF(E30&lt;&gt;"",SUM(E30,G30),"")</f>
        <v/>
      </c>
      <c r="J30" s="97" t="str">
        <f t="shared" ref="J30:J43" ca="1" si="3">IF(H30&lt;&gt;"",SUM(I30,H30),"")</f>
        <v/>
      </c>
      <c r="L30" s="596" t="b">
        <f t="shared" ref="L30:L31" si="4">IF(OR(ISERROR(D30),ISTEXT(D30)),FALSE,NOT(OR(AND(D30&lt;=0,D30&lt;&gt;""),D30-ROUNDDOWN(D30,2)&gt;0,AND(D30="",M30=TRUE))))</f>
        <v>1</v>
      </c>
      <c r="M30" s="597" t="b">
        <v>0</v>
      </c>
    </row>
    <row r="31" spans="1:13" x14ac:dyDescent="0.2">
      <c r="B31" s="99"/>
      <c r="C31" s="90"/>
      <c r="D31" s="694"/>
      <c r="E31" s="91" t="str">
        <f ca="1">IF(AND($C$25&lt;&gt;"",L31),IF(D31&gt;0,MAX(E$27*D31,HF_PKR!$E$43),""),"")</f>
        <v/>
      </c>
      <c r="F31" s="94"/>
      <c r="G31" s="93" t="str">
        <f t="shared" ca="1" si="0"/>
        <v/>
      </c>
      <c r="H31" s="93" t="str">
        <f t="shared" ca="1" si="1"/>
        <v/>
      </c>
      <c r="I31" s="89" t="str">
        <f t="shared" ca="1" si="2"/>
        <v/>
      </c>
      <c r="J31" s="97" t="str">
        <f t="shared" ca="1" si="3"/>
        <v/>
      </c>
      <c r="L31" s="596" t="b">
        <f t="shared" si="4"/>
        <v>1</v>
      </c>
      <c r="M31" s="597" t="b">
        <v>0</v>
      </c>
    </row>
    <row r="32" spans="1:13" x14ac:dyDescent="0.2">
      <c r="B32" s="92" t="s">
        <v>483</v>
      </c>
      <c r="C32" s="94"/>
      <c r="D32" s="586" t="s">
        <v>103</v>
      </c>
      <c r="E32" s="586" t="s">
        <v>140</v>
      </c>
      <c r="F32" s="586" t="s">
        <v>439</v>
      </c>
      <c r="G32" s="94" t="s">
        <v>130</v>
      </c>
      <c r="H32" s="94" t="s">
        <v>131</v>
      </c>
      <c r="I32" s="94" t="s">
        <v>132</v>
      </c>
      <c r="J32" s="95" t="s">
        <v>133</v>
      </c>
    </row>
    <row r="33" spans="2:14" x14ac:dyDescent="0.2">
      <c r="B33" s="100" t="s">
        <v>433</v>
      </c>
      <c r="C33" s="94"/>
      <c r="D33" s="101">
        <v>1.3</v>
      </c>
      <c r="E33" s="91">
        <f ca="1">IF($C$25&lt;&gt;"",MAX(E$27*D33,HF_PKR!$E$43),"")</f>
        <v>847.6</v>
      </c>
      <c r="F33" s="94"/>
      <c r="G33" s="93">
        <f t="shared" ca="1" si="0"/>
        <v>20</v>
      </c>
      <c r="H33" s="93">
        <f t="shared" ca="1" si="1"/>
        <v>164.84399999999999</v>
      </c>
      <c r="I33" s="89">
        <f t="shared" ca="1" si="2"/>
        <v>867.6</v>
      </c>
      <c r="J33" s="97">
        <f t="shared" ca="1" si="3"/>
        <v>1032.444</v>
      </c>
      <c r="M33" s="597" t="b">
        <v>0</v>
      </c>
    </row>
    <row r="34" spans="2:14" x14ac:dyDescent="0.2">
      <c r="B34" s="100" t="s">
        <v>120</v>
      </c>
      <c r="C34" s="90"/>
      <c r="D34" s="101">
        <v>1.5</v>
      </c>
      <c r="E34" s="91">
        <f ca="1">IF($C$25&lt;&gt;"",MAX(E$27*D34,HF_PKR!$E$43),"")</f>
        <v>978</v>
      </c>
      <c r="F34" s="94"/>
      <c r="G34" s="93">
        <f t="shared" ca="1" si="0"/>
        <v>20</v>
      </c>
      <c r="H34" s="93">
        <f t="shared" ca="1" si="1"/>
        <v>189.62</v>
      </c>
      <c r="I34" s="89">
        <f t="shared" ca="1" si="2"/>
        <v>998</v>
      </c>
      <c r="J34" s="97">
        <f t="shared" ca="1" si="3"/>
        <v>1187.6199999999999</v>
      </c>
      <c r="M34" s="597" t="b">
        <v>0</v>
      </c>
    </row>
    <row r="35" spans="2:14" x14ac:dyDescent="0.2">
      <c r="B35" s="100" t="s">
        <v>120</v>
      </c>
      <c r="C35" s="90"/>
      <c r="D35" s="101">
        <v>2</v>
      </c>
      <c r="E35" s="91">
        <f ca="1">IF($C$25&lt;&gt;"",MAX(E$27*D35,HF_PKR!$E$43),"")</f>
        <v>1304</v>
      </c>
      <c r="F35" s="94"/>
      <c r="G35" s="93">
        <f t="shared" ca="1" si="0"/>
        <v>20</v>
      </c>
      <c r="H35" s="93">
        <f t="shared" ca="1" si="1"/>
        <v>251.56</v>
      </c>
      <c r="I35" s="89">
        <f t="shared" ca="1" si="2"/>
        <v>1324</v>
      </c>
      <c r="J35" s="97">
        <f t="shared" ca="1" si="3"/>
        <v>1575.56</v>
      </c>
      <c r="M35" s="597" t="b">
        <v>0</v>
      </c>
    </row>
    <row r="36" spans="2:14" x14ac:dyDescent="0.2">
      <c r="B36" s="100" t="s">
        <v>142</v>
      </c>
      <c r="C36" s="90"/>
      <c r="D36" s="101">
        <v>1.3</v>
      </c>
      <c r="E36" s="91">
        <f ca="1">IF($C$25&lt;&gt;"",MAX(E$27*D36,HF_PKR!$E$43),"")</f>
        <v>847.6</v>
      </c>
      <c r="F36" s="94"/>
      <c r="G36" s="93">
        <f t="shared" ca="1" si="0"/>
        <v>20</v>
      </c>
      <c r="H36" s="93">
        <f t="shared" ca="1" si="1"/>
        <v>164.84399999999999</v>
      </c>
      <c r="I36" s="89">
        <f t="shared" ca="1" si="2"/>
        <v>867.6</v>
      </c>
      <c r="J36" s="97">
        <f t="shared" ca="1" si="3"/>
        <v>1032.444</v>
      </c>
      <c r="M36" s="597" t="b">
        <v>0</v>
      </c>
    </row>
    <row r="37" spans="2:14" x14ac:dyDescent="0.2">
      <c r="B37" s="100" t="s">
        <v>146</v>
      </c>
      <c r="C37" s="90"/>
      <c r="D37" s="101">
        <v>2.5</v>
      </c>
      <c r="E37" s="91">
        <f ca="1">IF($C$25&lt;&gt;"",MAX(E$27*D37,HF_PKR!$E$43),"")</f>
        <v>1630</v>
      </c>
      <c r="F37" s="94"/>
      <c r="G37" s="93">
        <f t="shared" ca="1" si="0"/>
        <v>20</v>
      </c>
      <c r="H37" s="93">
        <f t="shared" ca="1" si="1"/>
        <v>313.5</v>
      </c>
      <c r="I37" s="89">
        <f t="shared" ca="1" si="2"/>
        <v>1650</v>
      </c>
      <c r="J37" s="97">
        <f t="shared" ca="1" si="3"/>
        <v>1963.5</v>
      </c>
      <c r="M37" s="597" t="b">
        <v>1</v>
      </c>
    </row>
    <row r="38" spans="2:14" x14ac:dyDescent="0.2">
      <c r="B38" s="100" t="s">
        <v>121</v>
      </c>
      <c r="C38" s="90"/>
      <c r="D38" s="101">
        <v>2.8</v>
      </c>
      <c r="E38" s="91">
        <f ca="1">IF($C$25&lt;&gt;"",MAX(E$27*D38,HF_PKR!$E$43),"")</f>
        <v>1825.6</v>
      </c>
      <c r="F38" s="94"/>
      <c r="G38" s="93">
        <f t="shared" ca="1" si="0"/>
        <v>20</v>
      </c>
      <c r="H38" s="93">
        <f t="shared" ca="1" si="1"/>
        <v>350.66399999999999</v>
      </c>
      <c r="I38" s="89">
        <f t="shared" ca="1" si="2"/>
        <v>1845.6</v>
      </c>
      <c r="J38" s="97">
        <f t="shared" ca="1" si="3"/>
        <v>2196.2640000000001</v>
      </c>
      <c r="M38" s="597" t="b">
        <v>0</v>
      </c>
    </row>
    <row r="39" spans="2:14" x14ac:dyDescent="0.2">
      <c r="B39" s="100" t="s">
        <v>123</v>
      </c>
      <c r="C39" s="90"/>
      <c r="D39" s="101">
        <f>3.1</f>
        <v>3.1</v>
      </c>
      <c r="E39" s="91">
        <f ca="1">IF($C$25&lt;&gt;"",MAX(E$27*D39,HF_PKR!$E$43),"")</f>
        <v>2021.2</v>
      </c>
      <c r="F39" s="94"/>
      <c r="G39" s="93">
        <f t="shared" ca="1" si="0"/>
        <v>20</v>
      </c>
      <c r="H39" s="93">
        <f t="shared" ca="1" si="1"/>
        <v>387.82800000000003</v>
      </c>
      <c r="I39" s="89">
        <f t="shared" ca="1" si="2"/>
        <v>2041.2</v>
      </c>
      <c r="J39" s="97">
        <f t="shared" ca="1" si="3"/>
        <v>2429.0280000000002</v>
      </c>
      <c r="M39" s="597" t="b">
        <v>0</v>
      </c>
    </row>
    <row r="40" spans="2:14" x14ac:dyDescent="0.2">
      <c r="B40" s="100" t="s">
        <v>122</v>
      </c>
      <c r="C40" s="90"/>
      <c r="D40" s="101">
        <f>3.8</f>
        <v>3.8</v>
      </c>
      <c r="E40" s="91">
        <f ca="1">IF($C$25&lt;&gt;"",MAX(E$27*D40,HF_PKR!$E$43),"")</f>
        <v>2477.6</v>
      </c>
      <c r="F40" s="94"/>
      <c r="G40" s="93">
        <f t="shared" ca="1" si="0"/>
        <v>20</v>
      </c>
      <c r="H40" s="93">
        <f t="shared" ca="1" si="1"/>
        <v>474.54399999999998</v>
      </c>
      <c r="I40" s="89">
        <f t="shared" ca="1" si="2"/>
        <v>2497.6</v>
      </c>
      <c r="J40" s="97">
        <f t="shared" ca="1" si="3"/>
        <v>2972.1439999999998</v>
      </c>
      <c r="M40" s="597" t="b">
        <v>0</v>
      </c>
    </row>
    <row r="41" spans="2:14" x14ac:dyDescent="0.2">
      <c r="B41" s="88" t="s">
        <v>629</v>
      </c>
      <c r="C41" s="90"/>
      <c r="D41" s="101">
        <v>1.5</v>
      </c>
      <c r="E41" s="91">
        <f ca="1">IF($C$25&lt;&gt;"",MAX(E$27*D41,HF_PKR!$E$43),"")</f>
        <v>978</v>
      </c>
      <c r="F41" s="94"/>
      <c r="G41" s="93">
        <f t="shared" ca="1" si="0"/>
        <v>20</v>
      </c>
      <c r="H41" s="93">
        <f t="shared" ca="1" si="1"/>
        <v>189.62</v>
      </c>
      <c r="I41" s="89">
        <f t="shared" ca="1" si="2"/>
        <v>998</v>
      </c>
      <c r="J41" s="97">
        <f t="shared" ca="1" si="3"/>
        <v>1187.6199999999999</v>
      </c>
      <c r="M41" s="597" t="b">
        <v>0</v>
      </c>
    </row>
    <row r="42" spans="2:14" x14ac:dyDescent="0.2">
      <c r="B42" s="88" t="s">
        <v>630</v>
      </c>
      <c r="C42" s="90"/>
      <c r="D42" s="101">
        <v>1</v>
      </c>
      <c r="E42" s="91">
        <f ca="1">IF($C$25&lt;&gt;"",MAX(E$27*D42,HF_PKR!$E$43),"")</f>
        <v>652</v>
      </c>
      <c r="F42" s="94"/>
      <c r="G42" s="93">
        <f t="shared" ca="1" si="0"/>
        <v>20</v>
      </c>
      <c r="H42" s="93">
        <f t="shared" ca="1" si="1"/>
        <v>127.68</v>
      </c>
      <c r="I42" s="89">
        <f t="shared" ca="1" si="2"/>
        <v>672</v>
      </c>
      <c r="J42" s="97">
        <f t="shared" ca="1" si="3"/>
        <v>799.68000000000006</v>
      </c>
      <c r="M42" s="597" t="b">
        <v>0</v>
      </c>
    </row>
    <row r="43" spans="2:14" s="594" customFormat="1" x14ac:dyDescent="0.2">
      <c r="B43" s="88" t="s">
        <v>631</v>
      </c>
      <c r="C43" s="90"/>
      <c r="D43" s="101">
        <v>1.3</v>
      </c>
      <c r="E43" s="91">
        <f ca="1">IF($C$25&lt;&gt;"",MAX(E$27*D43,HF_PKR!$E$43),"")</f>
        <v>847.6</v>
      </c>
      <c r="F43" s="94"/>
      <c r="G43" s="93">
        <f t="shared" ca="1" si="0"/>
        <v>20</v>
      </c>
      <c r="H43" s="93">
        <f t="shared" ca="1" si="1"/>
        <v>164.84399999999999</v>
      </c>
      <c r="I43" s="89">
        <f t="shared" ca="1" si="2"/>
        <v>867.6</v>
      </c>
      <c r="J43" s="97">
        <f t="shared" ca="1" si="3"/>
        <v>1032.444</v>
      </c>
      <c r="L43" s="596"/>
      <c r="M43" s="597" t="b">
        <v>0</v>
      </c>
      <c r="N43" s="596"/>
    </row>
    <row r="44" spans="2:14" x14ac:dyDescent="0.2">
      <c r="B44" s="100" t="s">
        <v>489</v>
      </c>
      <c r="C44" s="90"/>
      <c r="D44" s="101">
        <f>IF(L44,MAX(0.3,MIN(F44*0.3,2)),"")</f>
        <v>0.3</v>
      </c>
      <c r="E44" s="91">
        <f ca="1">IF(AND($C$25&lt;&gt;"",L44),E$27*D44,"")</f>
        <v>195.6</v>
      </c>
      <c r="F44" s="611">
        <v>0</v>
      </c>
      <c r="G44" s="90"/>
      <c r="H44" s="90"/>
      <c r="I44" s="90"/>
      <c r="J44" s="589"/>
      <c r="L44" s="596" t="b">
        <f>IF(OR(ISERROR(F44),ISTEXT(F44)),FALSE,NOT(OR(F44&lt;0,F44&gt;99,F44="",F44-INT(F44)&gt;0)))</f>
        <v>1</v>
      </c>
    </row>
    <row r="45" spans="2:14" x14ac:dyDescent="0.2">
      <c r="B45" s="92" t="s">
        <v>125</v>
      </c>
      <c r="C45" s="90"/>
      <c r="D45" s="102"/>
      <c r="E45" s="91">
        <f ca="1">IF($C$25&lt;&gt;"",SUMIF(M29:M31,TRUE,E29:E31)+SUMIF(M33:M43,TRUE,E33:E43)+IF(L44,IF(F44&gt;0,E44,0),0),"")</f>
        <v>1630</v>
      </c>
      <c r="F45" s="91"/>
      <c r="G45" s="90"/>
      <c r="H45" s="90"/>
      <c r="I45" s="90"/>
      <c r="J45" s="589"/>
    </row>
    <row r="46" spans="2:14" x14ac:dyDescent="0.2">
      <c r="B46" s="100" t="s">
        <v>490</v>
      </c>
      <c r="C46" s="90"/>
      <c r="D46" s="90"/>
      <c r="E46" s="93">
        <f ca="1">IF(E45&lt;&gt;"",MIN(E45*0.2,20),"")</f>
        <v>20</v>
      </c>
      <c r="F46" s="93"/>
      <c r="G46" s="90"/>
      <c r="H46" s="90"/>
      <c r="I46" s="90"/>
      <c r="J46" s="589"/>
    </row>
    <row r="47" spans="2:14" x14ac:dyDescent="0.2">
      <c r="B47" s="88" t="s">
        <v>124</v>
      </c>
      <c r="C47" s="90"/>
      <c r="D47" s="90"/>
      <c r="E47" s="93">
        <f ca="1">IF(AND($L$5,E45&lt;&gt;""),E48*C5,"")</f>
        <v>313.5</v>
      </c>
      <c r="F47" s="93"/>
      <c r="G47" s="90"/>
      <c r="H47" s="90"/>
      <c r="I47" s="90"/>
      <c r="J47" s="589"/>
    </row>
    <row r="48" spans="2:14" x14ac:dyDescent="0.2">
      <c r="B48" s="92" t="s">
        <v>135</v>
      </c>
      <c r="C48" s="90"/>
      <c r="D48" s="90"/>
      <c r="E48" s="91">
        <f ca="1">IF(E45&lt;&gt;"",SUM(E45,E46),"")</f>
        <v>1650</v>
      </c>
      <c r="F48" s="91"/>
      <c r="G48" s="90"/>
      <c r="H48" s="90"/>
      <c r="I48" s="90"/>
      <c r="J48" s="589"/>
    </row>
    <row r="49" spans="1:14" ht="13.5" thickBot="1" x14ac:dyDescent="0.25">
      <c r="B49" s="103" t="s">
        <v>136</v>
      </c>
      <c r="C49" s="104"/>
      <c r="D49" s="104"/>
      <c r="E49" s="105">
        <f ca="1">IF(E47&lt;&gt;"",SUM(E48,E47),"")</f>
        <v>1963.5</v>
      </c>
      <c r="F49" s="105"/>
      <c r="G49" s="104"/>
      <c r="H49" s="104"/>
      <c r="I49" s="104"/>
      <c r="J49" s="106"/>
    </row>
    <row r="50" spans="1:14" ht="13.5" thickBot="1" x14ac:dyDescent="0.25"/>
    <row r="51" spans="1:14" ht="13.5" thickBot="1" x14ac:dyDescent="0.25">
      <c r="A51" s="107" t="s">
        <v>30</v>
      </c>
      <c r="B51" s="108" t="s">
        <v>491</v>
      </c>
      <c r="C51" s="109"/>
      <c r="D51" s="109"/>
      <c r="E51" s="109"/>
      <c r="F51" s="109"/>
      <c r="G51" s="109" t="s">
        <v>132</v>
      </c>
      <c r="H51" s="109" t="s">
        <v>482</v>
      </c>
      <c r="I51" s="110" t="s">
        <v>133</v>
      </c>
    </row>
    <row r="52" spans="1:14" x14ac:dyDescent="0.2">
      <c r="B52" s="111" t="s">
        <v>137</v>
      </c>
      <c r="C52" s="112"/>
      <c r="D52" s="112"/>
      <c r="E52" s="112"/>
      <c r="F52" s="112"/>
      <c r="G52" s="113">
        <f ca="1">IF(AND($L$4,$L$6),$E$16+($E$37+MIN($E$37*0.2,20))*2,"")</f>
        <v>4149</v>
      </c>
      <c r="H52" s="113">
        <f ca="1">IF(AND($L$4:$L$6),$E$16+($E$37+MIN($E$37*0.2,20))*(1+$C$5/2)*2,"")</f>
        <v>4462.5</v>
      </c>
      <c r="I52" s="114">
        <f ca="1">IF(AND($L$4:$L$6),$E$16+($E$37+MIN($E$37*0.2,20))*(1+$C$5)*2,"")</f>
        <v>4776</v>
      </c>
    </row>
    <row r="53" spans="1:14" x14ac:dyDescent="0.2">
      <c r="B53" s="111" t="s">
        <v>138</v>
      </c>
      <c r="C53" s="112"/>
      <c r="D53" s="112"/>
      <c r="E53" s="112"/>
      <c r="F53" s="112"/>
      <c r="G53" s="113">
        <f ca="1">IF(AND($L$4,$L$6),$E$17+($E$37+$E$42+MIN(($E$37+$E$42)*0.2,20))*2,"")</f>
        <v>4887</v>
      </c>
      <c r="H53" s="113">
        <f ca="1">IF(AND($L$4:$L$6),$E$17+($E$37+$E$42+MIN(($E$37+$E$42)*0.2,20))*(1+$C$5/2)*2,"")</f>
        <v>5324.38</v>
      </c>
      <c r="I53" s="114">
        <f ca="1">IF(AND($L$4:$L$6),$E$17+($E$37+$E$42+MIN(($E$37+$E$42)*0.2,20))*(1+$C$5)*2,"")</f>
        <v>5761.7599999999993</v>
      </c>
    </row>
    <row r="54" spans="1:14" x14ac:dyDescent="0.2">
      <c r="B54" s="111" t="s">
        <v>139</v>
      </c>
      <c r="C54" s="112"/>
      <c r="D54" s="112"/>
      <c r="E54" s="112"/>
      <c r="F54" s="112"/>
      <c r="G54" s="113">
        <f ca="1">IF(AND($L$4,$L$6),$G$52+$E$18+($E$38+MIN($E$38*0.2,20))*2,"")</f>
        <v>8972.2000000000007</v>
      </c>
      <c r="H54" s="113">
        <f ca="1">IF(AND($L$4:$L$6),$H$52+$E$18+($E$38+MIN($E$38*0.2,20))*(1+$C$5/2)*2,"")</f>
        <v>9636.3639999999996</v>
      </c>
      <c r="I54" s="114">
        <f ca="1">IF(AND($L$4:$L$6),$I$52+$E$18+($E$38+MIN($E$38*0.2,20))*(1+$C$5)*2,"")</f>
        <v>10300.527999999998</v>
      </c>
    </row>
    <row r="55" spans="1:14" ht="13.5" thickBot="1" x14ac:dyDescent="0.25">
      <c r="B55" s="115" t="s">
        <v>151</v>
      </c>
      <c r="C55" s="116"/>
      <c r="D55" s="116"/>
      <c r="E55" s="116"/>
      <c r="F55" s="116"/>
      <c r="G55" s="117">
        <f ca="1">IF(AND($L$4,$L$6),$G$52+$E$19+($E$38+$E$43+MIN(($E$38+$E$43)*0.2,20))*2,"")</f>
        <v>10101.4</v>
      </c>
      <c r="H55" s="117">
        <f ca="1">IF(AND($L$4:$L$6),$H$52+$E$19+($E$38+$E$43+MIN(($E$38+$E$43)*0.2,20))*(1+$C$5/2)*2,"")</f>
        <v>10926.608</v>
      </c>
      <c r="I55" s="118">
        <f ca="1">IF(AND($L$4:$L$6),$I$52+$E$19+($E$38+$E$43+MIN(($E$38+$E$43)*0.2,20))*(1+$C$5)*2,"")</f>
        <v>11751.815999999999</v>
      </c>
    </row>
    <row r="56" spans="1:14" ht="13.5" thickBot="1" x14ac:dyDescent="0.25"/>
    <row r="57" spans="1:14" s="613" customFormat="1" ht="13.5" thickBot="1" x14ac:dyDescent="0.25">
      <c r="A57" s="614" t="s">
        <v>31</v>
      </c>
      <c r="B57" s="615" t="s">
        <v>652</v>
      </c>
      <c r="C57" s="616"/>
      <c r="L57" s="596"/>
      <c r="M57" s="596"/>
      <c r="N57" s="601"/>
    </row>
    <row r="58" spans="1:14" s="603" customFormat="1" ht="13.5" thickBot="1" x14ac:dyDescent="0.25">
      <c r="B58" s="786" t="str">
        <f ca="1">IF(L58,"Alle Eingaben sind formal fehlerfrei.","Die rot gefärbten Felder enthalten fehlerhafte oder keine Eingaben!")</f>
        <v>Alle Eingaben sind formal fehlerfrei.</v>
      </c>
      <c r="C58" s="787"/>
      <c r="D58" s="613"/>
      <c r="E58" s="613"/>
      <c r="L58" s="596" t="b">
        <f ca="1">AND(L4:L6,L14,L29:L31,L44)</f>
        <v>1</v>
      </c>
      <c r="M58" s="596"/>
      <c r="N58" s="601"/>
    </row>
    <row r="59" spans="1:14" s="603" customFormat="1" x14ac:dyDescent="0.2">
      <c r="L59" s="596"/>
      <c r="M59" s="596"/>
      <c r="N59" s="601"/>
    </row>
    <row r="60" spans="1:14" x14ac:dyDescent="0.2">
      <c r="B60" s="282" t="str">
        <f>Übersicht!A30</f>
        <v>Haftungsausschluss</v>
      </c>
    </row>
    <row r="61" spans="1:14" x14ac:dyDescent="0.2">
      <c r="B61" s="58" t="str">
        <f>Übersicht!A31</f>
        <v>Für die Richtigkeit der rechtlichen Bewertungen und der Berechnungsergebnisse besteht trotz sorgfältiger Bearbeitung und Prüfung keine Gewähr.</v>
      </c>
    </row>
    <row r="63" spans="1:14" x14ac:dyDescent="0.2">
      <c r="B63" s="119" t="s">
        <v>150</v>
      </c>
    </row>
    <row r="64" spans="1:14" x14ac:dyDescent="0.2">
      <c r="A64" s="120" t="s">
        <v>360</v>
      </c>
      <c r="B64" s="51" t="s">
        <v>762</v>
      </c>
    </row>
    <row r="65" spans="1:14" s="755" customFormat="1" x14ac:dyDescent="0.2">
      <c r="A65" s="120"/>
      <c r="B65" s="51" t="s">
        <v>763</v>
      </c>
      <c r="L65" s="596"/>
      <c r="M65" s="596"/>
      <c r="N65" s="601"/>
    </row>
    <row r="66" spans="1:14" s="755" customFormat="1" x14ac:dyDescent="0.2">
      <c r="A66" s="120"/>
      <c r="B66" s="51" t="s">
        <v>764</v>
      </c>
      <c r="L66" s="596"/>
      <c r="M66" s="596"/>
      <c r="N66" s="601"/>
    </row>
    <row r="67" spans="1:14" s="755" customFormat="1" x14ac:dyDescent="0.2">
      <c r="A67" s="120"/>
      <c r="B67" s="51" t="s">
        <v>765</v>
      </c>
      <c r="L67" s="596"/>
      <c r="M67" s="596"/>
      <c r="N67" s="601"/>
    </row>
    <row r="68" spans="1:14" s="770" customFormat="1" x14ac:dyDescent="0.2">
      <c r="A68" s="120"/>
      <c r="B68" s="51" t="s">
        <v>816</v>
      </c>
      <c r="L68" s="596"/>
      <c r="M68" s="596"/>
      <c r="N68" s="601"/>
    </row>
    <row r="69" spans="1:14" s="770" customFormat="1" x14ac:dyDescent="0.2">
      <c r="A69" s="120"/>
      <c r="B69" s="51" t="s">
        <v>817</v>
      </c>
      <c r="L69" s="596"/>
      <c r="M69" s="596"/>
      <c r="N69" s="601"/>
    </row>
    <row r="70" spans="1:14" s="770" customFormat="1" x14ac:dyDescent="0.2">
      <c r="A70" s="120"/>
      <c r="B70" s="51" t="s">
        <v>818</v>
      </c>
      <c r="L70" s="596"/>
      <c r="M70" s="596"/>
      <c r="N70" s="601"/>
    </row>
    <row r="71" spans="1:14" s="752" customFormat="1" x14ac:dyDescent="0.2">
      <c r="A71" s="120"/>
      <c r="B71" s="51" t="s">
        <v>819</v>
      </c>
      <c r="L71" s="596"/>
      <c r="M71" s="596"/>
      <c r="N71" s="601"/>
    </row>
    <row r="72" spans="1:14" s="752" customFormat="1" x14ac:dyDescent="0.2">
      <c r="A72" s="120"/>
      <c r="B72" s="51" t="s">
        <v>822</v>
      </c>
      <c r="L72" s="596"/>
      <c r="M72" s="596"/>
      <c r="N72" s="601"/>
    </row>
    <row r="73" spans="1:14" s="778" customFormat="1" x14ac:dyDescent="0.2">
      <c r="A73" s="120"/>
      <c r="B73" s="51" t="s">
        <v>823</v>
      </c>
      <c r="L73" s="596"/>
      <c r="M73" s="596"/>
      <c r="N73" s="601"/>
    </row>
    <row r="74" spans="1:14" x14ac:dyDescent="0.2">
      <c r="A74" s="120" t="s">
        <v>28</v>
      </c>
      <c r="B74" s="121" t="s">
        <v>820</v>
      </c>
    </row>
    <row r="75" spans="1:14" x14ac:dyDescent="0.2">
      <c r="B75" s="51" t="s">
        <v>821</v>
      </c>
    </row>
    <row r="76" spans="1:14" s="594" customFormat="1" x14ac:dyDescent="0.2">
      <c r="B76" s="121" t="s">
        <v>633</v>
      </c>
      <c r="L76" s="596"/>
      <c r="M76" s="596"/>
      <c r="N76" s="596"/>
    </row>
    <row r="77" spans="1:14" x14ac:dyDescent="0.2">
      <c r="A77" s="120" t="s">
        <v>29</v>
      </c>
      <c r="B77" s="121" t="s">
        <v>659</v>
      </c>
    </row>
    <row r="78" spans="1:14" x14ac:dyDescent="0.2">
      <c r="B78" s="51" t="s">
        <v>660</v>
      </c>
    </row>
    <row r="79" spans="1:14" s="594" customFormat="1" x14ac:dyDescent="0.2">
      <c r="B79" s="121" t="s">
        <v>507</v>
      </c>
      <c r="L79" s="596"/>
      <c r="M79" s="596"/>
      <c r="N79" s="596"/>
    </row>
    <row r="80" spans="1:14" s="594" customFormat="1" x14ac:dyDescent="0.2">
      <c r="B80" s="121" t="s">
        <v>658</v>
      </c>
      <c r="L80" s="596"/>
      <c r="M80" s="596"/>
      <c r="N80" s="596"/>
    </row>
    <row r="81" spans="1:14" s="594" customFormat="1" x14ac:dyDescent="0.2">
      <c r="B81" s="51" t="s">
        <v>664</v>
      </c>
      <c r="L81" s="596"/>
      <c r="M81" s="596"/>
      <c r="N81" s="596"/>
    </row>
    <row r="82" spans="1:14" s="594" customFormat="1" x14ac:dyDescent="0.2">
      <c r="B82" s="51" t="s">
        <v>666</v>
      </c>
      <c r="L82" s="596"/>
      <c r="M82" s="596"/>
      <c r="N82" s="596"/>
    </row>
    <row r="83" spans="1:14" s="594" customFormat="1" x14ac:dyDescent="0.2">
      <c r="B83" s="51" t="s">
        <v>667</v>
      </c>
      <c r="L83" s="596"/>
      <c r="M83" s="596"/>
      <c r="N83" s="596"/>
    </row>
    <row r="84" spans="1:14" x14ac:dyDescent="0.2">
      <c r="B84" s="121" t="s">
        <v>626</v>
      </c>
    </row>
    <row r="85" spans="1:14" x14ac:dyDescent="0.2">
      <c r="B85" s="51" t="s">
        <v>665</v>
      </c>
    </row>
    <row r="86" spans="1:14" x14ac:dyDescent="0.2">
      <c r="B86" s="51" t="s">
        <v>627</v>
      </c>
    </row>
    <row r="87" spans="1:14" x14ac:dyDescent="0.2">
      <c r="B87" s="51" t="s">
        <v>628</v>
      </c>
    </row>
    <row r="88" spans="1:14" x14ac:dyDescent="0.2">
      <c r="A88" s="120" t="s">
        <v>30</v>
      </c>
      <c r="B88" s="121" t="s">
        <v>632</v>
      </c>
    </row>
    <row r="89" spans="1:14" x14ac:dyDescent="0.2">
      <c r="B89" s="588" t="s">
        <v>508</v>
      </c>
    </row>
    <row r="90" spans="1:14" x14ac:dyDescent="0.2">
      <c r="B90" s="588" t="s">
        <v>509</v>
      </c>
    </row>
  </sheetData>
  <sheetProtection sheet="1" objects="1" scenarios="1"/>
  <mergeCells count="2">
    <mergeCell ref="I4:J4"/>
    <mergeCell ref="B58:C58"/>
  </mergeCells>
  <phoneticPr fontId="0" type="noConversion"/>
  <conditionalFormatting sqref="C4:C6 D14 D29:D31 F44 B58:C58">
    <cfRule type="expression" dxfId="29" priority="13" stopIfTrue="1">
      <formula>NOT($L4)</formula>
    </cfRule>
  </conditionalFormatting>
  <dataValidations disablePrompts="1" count="1">
    <dataValidation type="list" allowBlank="1" showInputMessage="1" sqref="C6" xr:uid="{00000000-0002-0000-0100-000000000000}">
      <formula1>$N$9:$N$13</formula1>
    </dataValidation>
  </dataValidations>
  <pageMargins left="0.78740157499999996" right="0.78740157499999996" top="0.984251969" bottom="0.984251969" header="0.4921259845" footer="0.4921259845"/>
  <pageSetup paperSize="9" orientation="portrait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95" r:id="rId4" name="Check Box 123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133350</xdr:rowOff>
                  </from>
                  <to>
                    <xdr:col>6</xdr:col>
                    <xdr:colOff>57150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5" name="Check Box 18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133350</xdr:rowOff>
                  </from>
                  <to>
                    <xdr:col>6</xdr:col>
                    <xdr:colOff>57150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Check Box 19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133350</xdr:rowOff>
                  </from>
                  <to>
                    <xdr:col>6</xdr:col>
                    <xdr:colOff>57150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7" name="Check Box 20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133350</xdr:rowOff>
                  </from>
                  <to>
                    <xdr:col>6</xdr:col>
                    <xdr:colOff>57150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8" name="Check Box 21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133350</xdr:rowOff>
                  </from>
                  <to>
                    <xdr:col>6</xdr:col>
                    <xdr:colOff>57150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9" name="Check Box 22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133350</xdr:rowOff>
                  </from>
                  <to>
                    <xdr:col>6</xdr:col>
                    <xdr:colOff>57150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" name="Check Box 122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133350</xdr:rowOff>
                  </from>
                  <to>
                    <xdr:col>6</xdr:col>
                    <xdr:colOff>57150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1" name="Check Box 25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133350</xdr:rowOff>
                  </from>
                  <to>
                    <xdr:col>6</xdr:col>
                    <xdr:colOff>57150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2" name="Check Box 28">
              <controlPr defaultSize="0" autoFill="0" autoLine="0" autoPict="0">
                <anchor moveWithCells="1">
                  <from>
                    <xdr:col>5</xdr:col>
                    <xdr:colOff>0</xdr:colOff>
                    <xdr:row>28</xdr:row>
                    <xdr:rowOff>133350</xdr:rowOff>
                  </from>
                  <to>
                    <xdr:col>6</xdr:col>
                    <xdr:colOff>57150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3" name="Check Box 29">
              <controlPr defaultSize="0" autoFill="0" autoLine="0" autoPict="0">
                <anchor moveWithCells="1">
                  <from>
                    <xdr:col>5</xdr:col>
                    <xdr:colOff>0</xdr:colOff>
                    <xdr:row>29</xdr:row>
                    <xdr:rowOff>133350</xdr:rowOff>
                  </from>
                  <to>
                    <xdr:col>6</xdr:col>
                    <xdr:colOff>57150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4" name="Check Box 26">
              <controlPr defaultSize="0" autoFill="0" autoLine="0" autoPict="0">
                <anchor moveWithCells="1">
                  <from>
                    <xdr:col>5</xdr:col>
                    <xdr:colOff>0</xdr:colOff>
                    <xdr:row>31</xdr:row>
                    <xdr:rowOff>133350</xdr:rowOff>
                  </from>
                  <to>
                    <xdr:col>6</xdr:col>
                    <xdr:colOff>57150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5" name="Check Box 27">
              <controlPr defaultSize="0" autoFill="0" autoLine="0" autoPict="0">
                <anchor moveWithCells="1">
                  <from>
                    <xdr:col>5</xdr:col>
                    <xdr:colOff>0</xdr:colOff>
                    <xdr:row>32</xdr:row>
                    <xdr:rowOff>133350</xdr:rowOff>
                  </from>
                  <to>
                    <xdr:col>6</xdr:col>
                    <xdr:colOff>57150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6" name="Check Box 30">
              <controlPr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133350</xdr:rowOff>
                  </from>
                  <to>
                    <xdr:col>6</xdr:col>
                    <xdr:colOff>57150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7" name="Check Box 31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133350</xdr:rowOff>
                  </from>
                  <to>
                    <xdr:col>6</xdr:col>
                    <xdr:colOff>57150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8" name="Check Box 32">
              <controlPr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133350</xdr:rowOff>
                  </from>
                  <to>
                    <xdr:col>6</xdr:col>
                    <xdr:colOff>57150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19" name="Check Box 33">
              <controlPr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133350</xdr:rowOff>
                  </from>
                  <to>
                    <xdr:col>6</xdr:col>
                    <xdr:colOff>57150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0" name="Check Box 34">
              <controlPr defaultSize="0" autoFill="0" autoLine="0" autoPict="0">
                <anchor moveWithCells="1">
                  <from>
                    <xdr:col>5</xdr:col>
                    <xdr:colOff>0</xdr:colOff>
                    <xdr:row>37</xdr:row>
                    <xdr:rowOff>133350</xdr:rowOff>
                  </from>
                  <to>
                    <xdr:col>6</xdr:col>
                    <xdr:colOff>57150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1" name="Check Box 35">
              <controlPr defaultSize="0" autoFill="0" autoLine="0" autoPict="0">
                <anchor moveWithCells="1">
                  <from>
                    <xdr:col>5</xdr:col>
                    <xdr:colOff>0</xdr:colOff>
                    <xdr:row>38</xdr:row>
                    <xdr:rowOff>133350</xdr:rowOff>
                  </from>
                  <to>
                    <xdr:col>6</xdr:col>
                    <xdr:colOff>57150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2" name="Check Box 36">
              <controlPr defaultSize="0" autoFill="0" autoLine="0" autoPict="0">
                <anchor moveWithCells="1">
                  <from>
                    <xdr:col>5</xdr:col>
                    <xdr:colOff>0</xdr:colOff>
                    <xdr:row>39</xdr:row>
                    <xdr:rowOff>133350</xdr:rowOff>
                  </from>
                  <to>
                    <xdr:col>6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3" name="Check Box 37">
              <controlPr defaultSize="0" autoFill="0" autoLine="0" autoPict="0">
                <anchor moveWithCells="1">
                  <from>
                    <xdr:col>5</xdr:col>
                    <xdr:colOff>0</xdr:colOff>
                    <xdr:row>40</xdr:row>
                    <xdr:rowOff>133350</xdr:rowOff>
                  </from>
                  <to>
                    <xdr:col>6</xdr:col>
                    <xdr:colOff>57150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24" name="Check Box 125">
              <controlPr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133350</xdr:rowOff>
                  </from>
                  <to>
                    <xdr:col>6</xdr:col>
                    <xdr:colOff>57150</xdr:colOff>
                    <xdr:row>43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BI96"/>
  <sheetViews>
    <sheetView workbookViewId="0">
      <selection activeCell="B6" sqref="B6"/>
    </sheetView>
  </sheetViews>
  <sheetFormatPr baseColWidth="10" defaultColWidth="11.42578125" defaultRowHeight="12.75" x14ac:dyDescent="0.2"/>
  <cols>
    <col min="1" max="1" width="2.7109375" style="76" customWidth="1"/>
    <col min="2" max="2" width="9.7109375" style="588" customWidth="1"/>
    <col min="3" max="3" width="13.28515625" style="588" customWidth="1"/>
    <col min="4" max="13" width="3.28515625" style="588" customWidth="1"/>
    <col min="14" max="17" width="13.28515625" style="588" customWidth="1"/>
    <col min="18" max="21" width="3.28515625" style="588" customWidth="1"/>
    <col min="22" max="27" width="13.28515625" style="588" customWidth="1"/>
    <col min="28" max="61" width="13.28515625" style="596" hidden="1" customWidth="1"/>
    <col min="62" max="62" width="13.28515625" style="588" customWidth="1"/>
    <col min="63" max="16384" width="11.42578125" style="588"/>
  </cols>
  <sheetData>
    <row r="1" spans="1:61" ht="13.5" thickBot="1" x14ac:dyDescent="0.25">
      <c r="B1" s="246" t="s">
        <v>434</v>
      </c>
      <c r="C1" s="247"/>
      <c r="D1" s="247"/>
      <c r="E1" s="247"/>
      <c r="F1" s="247"/>
      <c r="G1" s="247"/>
      <c r="H1" s="247"/>
      <c r="I1" s="248"/>
      <c r="J1" s="49"/>
      <c r="K1" s="49"/>
      <c r="L1" s="49"/>
      <c r="AB1" s="596" t="s">
        <v>636</v>
      </c>
      <c r="AV1" s="596" t="s">
        <v>479</v>
      </c>
    </row>
    <row r="2" spans="1:61" ht="13.5" thickBot="1" x14ac:dyDescent="0.25">
      <c r="B2" s="50" t="s">
        <v>391</v>
      </c>
      <c r="Q2" s="249" t="s">
        <v>385</v>
      </c>
      <c r="R2" s="797" t="s">
        <v>505</v>
      </c>
      <c r="S2" s="798"/>
      <c r="T2" s="798"/>
      <c r="U2" s="798"/>
      <c r="V2" s="799"/>
    </row>
    <row r="3" spans="1:61" ht="13.5" thickBot="1" x14ac:dyDescent="0.25"/>
    <row r="4" spans="1:61" ht="13.5" thickBot="1" x14ac:dyDescent="0.25">
      <c r="A4" s="280" t="s">
        <v>360</v>
      </c>
      <c r="B4" s="584" t="s">
        <v>462</v>
      </c>
      <c r="C4" s="250"/>
      <c r="D4" s="584" t="s">
        <v>608</v>
      </c>
      <c r="E4" s="250"/>
      <c r="F4" s="801" t="s">
        <v>435</v>
      </c>
      <c r="G4" s="801"/>
      <c r="H4" s="584"/>
      <c r="I4" s="584"/>
      <c r="J4" s="584"/>
      <c r="K4" s="584"/>
      <c r="L4" s="584"/>
      <c r="M4" s="585"/>
      <c r="N4" s="801" t="s">
        <v>2</v>
      </c>
      <c r="O4" s="802"/>
      <c r="P4" s="802"/>
      <c r="Q4" s="585"/>
      <c r="R4" s="585"/>
      <c r="S4" s="585"/>
      <c r="T4" s="585"/>
      <c r="U4" s="585"/>
      <c r="V4" s="251" t="s">
        <v>464</v>
      </c>
    </row>
    <row r="5" spans="1:61" x14ac:dyDescent="0.2">
      <c r="B5" s="252" t="s">
        <v>438</v>
      </c>
      <c r="C5" s="74" t="s">
        <v>589</v>
      </c>
      <c r="D5" s="74" t="s">
        <v>609</v>
      </c>
      <c r="E5" s="253" t="s">
        <v>610</v>
      </c>
      <c r="F5" s="74" t="s">
        <v>436</v>
      </c>
      <c r="G5" s="74" t="s">
        <v>437</v>
      </c>
      <c r="H5" s="74" t="s">
        <v>441</v>
      </c>
      <c r="I5" s="74" t="s">
        <v>442</v>
      </c>
      <c r="J5" s="74"/>
      <c r="K5" s="74"/>
      <c r="L5" s="74"/>
      <c r="M5" s="74"/>
      <c r="N5" s="74" t="s">
        <v>436</v>
      </c>
      <c r="O5" s="74" t="s">
        <v>437</v>
      </c>
      <c r="P5" s="74" t="s">
        <v>441</v>
      </c>
      <c r="Q5" s="74" t="s">
        <v>442</v>
      </c>
      <c r="R5" s="74" t="s">
        <v>436</v>
      </c>
      <c r="S5" s="74" t="s">
        <v>437</v>
      </c>
      <c r="T5" s="74" t="s">
        <v>441</v>
      </c>
      <c r="U5" s="74" t="s">
        <v>442</v>
      </c>
      <c r="V5" s="75" t="s">
        <v>465</v>
      </c>
    </row>
    <row r="6" spans="1:61" x14ac:dyDescent="0.2">
      <c r="B6" s="685"/>
      <c r="C6" s="676"/>
      <c r="D6" s="74"/>
      <c r="E6" s="253"/>
      <c r="F6" s="74"/>
      <c r="G6" s="74"/>
      <c r="H6" s="74"/>
      <c r="I6" s="74"/>
      <c r="J6" s="74"/>
      <c r="K6" s="74"/>
      <c r="L6" s="74"/>
      <c r="M6" s="64"/>
      <c r="N6" s="677"/>
      <c r="O6" s="678"/>
      <c r="P6" s="678"/>
      <c r="Q6" s="676"/>
      <c r="R6" s="74"/>
      <c r="S6" s="74"/>
      <c r="T6" s="74"/>
      <c r="U6" s="74"/>
      <c r="V6" s="256"/>
      <c r="AB6" s="679" t="b">
        <f>IF(OR(ISERROR(C6),ISTEXT(C6)),FALSE,NOT(OR(C6&lt;0,AND(C6=0,OR(AV6:BA6,BF6:BI6)),IF(OR(ISERROR(SUM(N6:Q6,V6)),ISTEXT(N6),ISTEXT(O6),ISTEXT(P6),ISTEXT(Q6),ISTEXT(V6)),FALSE,IF(OR(N6&lt;0,O6&lt;0,P6&lt;0,Q6&lt;0,V6&lt;0),FALSE,OR(AND(C6=0,N6+O6+P6+Q6+V6&gt;0),N6&gt;C6-IF(BF6,V6,0),O6&gt;C6-IF(BG6,V6,0),P6&gt;C6-IF(BH6,V6,0),Q6&gt;C6-IF(BI6,V6,0)))))))</f>
        <v>1</v>
      </c>
      <c r="AC6" s="596" t="b">
        <f>IF(ISERROR(SUM(C6,N6:Q6,V6)),TRUE,NOT(AND(NOT(OR(AV6,AW6)),OR(SUM(C6)&gt;0,AX6:BA6,SUM(N6:Q6,V6)&gt;0,BF6:BI6))))</f>
        <v>1</v>
      </c>
      <c r="AD6" s="596" t="b">
        <f>AC6</f>
        <v>1</v>
      </c>
      <c r="AE6" s="596" t="b">
        <f>IF(ISERROR(SUM($C6,$N6:$Q6,$V6)),TRUE,NOT(OR(AND(SUM($C6)&gt;0,NOT(OR($AX6:$BA6))),AND(SUM($V6)&gt;0,NOT(OR($AX6:$BA6,$BF6:$BI6))),AND(AX6,NOT(OR($AV6,$AW6))),AND(NOT(AX6),OR(SUM(N6)&gt;0,BF6)),AND(OR($AV6,$AW6),NOT(OR($AX6:$BA6))))))</f>
        <v>1</v>
      </c>
      <c r="AF6" s="596" t="b">
        <f>IF(ISERROR(SUM($C6,$N6:$Q6,$V6)),TRUE,NOT(OR(AND(SUM($C6)&gt;0,NOT(OR($AX6:$BA6))),AND(SUM($V6)&gt;0,NOT(OR($AX6:$BA6,$BF6:$BI6))),AND(AY6,NOT(OR($AV6,$AW6))),AND(NOT(AY6),OR(SUM(O6)&gt;0,BG6)),AND(OR($AV6,$AW6),NOT(OR($AX6:$BA6))))))</f>
        <v>1</v>
      </c>
      <c r="AG6" s="596" t="b">
        <f>IF(ISERROR(SUM($C6,$N6:$Q6,$V6)),TRUE,NOT(OR(AND(SUM($C6)&gt;0,NOT(OR($AX6:$BA6))),AND(SUM($V6)&gt;0,NOT(OR($AX6:$BA6,$BF6:$BI6))),AND(AZ6,NOT(OR($AV6,$AW6))),AND(NOT(AZ6),OR(SUM(P6)&gt;0,BH6)),AND(OR($AV6,$AW6),NOT(OR($AX6:$BA6))))))</f>
        <v>1</v>
      </c>
      <c r="AH6" s="596" t="b">
        <f>IF(ISERROR(SUM($C6,$N6:$Q6,$V6)),TRUE,NOT(OR(AND(SUM($C6)&gt;0,NOT(OR($AX6:$BA6))),AND(SUM($V6)&gt;0,NOT(OR($AX6:$BA6,$BF6:$BI6))),AND(BA6,NOT(OR($AV6,$AW6))),AND(NOT(BA6),OR(SUM(Q6)&gt;0,BI6)),AND(OR($AV6,$AW6),NOT(OR($AX6:$BA6))))))</f>
        <v>1</v>
      </c>
      <c r="AM6" s="679" t="b">
        <f>IF(OR(ISERROR(N6),ISTEXT(N6)),FALSE,NOT(OR(N6&lt;0,AND(N6&gt;0,OR(NOT(OR($AV6,$AW6)),NOT(AX6))),IF(OR(ISERROR(SUM($C6,$N6:$Q6,$V6)),ISTEXT($C6),ISTEXT($N6),ISTEXT($O6),ISTEXT($P6),ISTEXT($Q6),ISTEXT($V6)),FALSE,IF(OR($C6&lt;0,$N6&lt;0,$O6&lt;0,$P6&lt;0,$Q6&lt;0,$V6&lt;0),FALSE,N6&gt;$C6-IF(BF6,$V6,0))))))</f>
        <v>1</v>
      </c>
      <c r="AN6" s="679" t="b">
        <f t="shared" ref="AN6" si="0">IF(OR(ISERROR(O6),ISTEXT(O6)),FALSE,NOT(OR(O6&lt;0,AND(O6&gt;0,OR(NOT(OR($AV6,$AW6)),NOT(AY6))),IF(OR(ISERROR(SUM($C6,$N6:$Q6,$V6)),ISTEXT($C6),ISTEXT($N6),ISTEXT($O6),ISTEXT($P6),ISTEXT($Q6),ISTEXT($V6)),FALSE,IF(OR($C6&lt;0,$N6&lt;0,$O6&lt;0,$P6&lt;0,$Q6&lt;0,$V6&lt;0),FALSE,O6&gt;$C6-IF(BG6,$V6,0))))))</f>
        <v>1</v>
      </c>
      <c r="AO6" s="679" t="b">
        <f t="shared" ref="AO6" si="1">IF(OR(ISERROR(P6),ISTEXT(P6)),FALSE,NOT(OR(P6&lt;0,AND(P6&gt;0,OR(NOT(OR($AV6,$AW6)),NOT(AZ6))),IF(OR(ISERROR(SUM($C6,$N6:$Q6,$V6)),ISTEXT($C6),ISTEXT($N6),ISTEXT($O6),ISTEXT($P6),ISTEXT($Q6),ISTEXT($V6)),FALSE,IF(OR($C6&lt;0,$N6&lt;0,$O6&lt;0,$P6&lt;0,$Q6&lt;0,$V6&lt;0),FALSE,P6&gt;$C6-IF(BH6,$V6,0))))))</f>
        <v>1</v>
      </c>
      <c r="AP6" s="679" t="b">
        <f t="shared" ref="AP6" si="2">IF(OR(ISERROR(Q6),ISTEXT(Q6)),FALSE,NOT(OR(Q6&lt;0,AND(Q6&gt;0,OR(NOT(OR($AV6,$AW6)),NOT(BA6))),IF(OR(ISERROR(SUM($C6,$N6:$Q6,$V6)),ISTEXT($C6),ISTEXT($N6),ISTEXT($O6),ISTEXT($P6),ISTEXT($Q6),ISTEXT($V6)),FALSE,IF(OR($C6&lt;0,$N6&lt;0,$O6&lt;0,$P6&lt;0,$Q6&lt;0,$V6&lt;0),FALSE,Q6&gt;$C6-IF(BI6,$V6,0))))))</f>
        <v>1</v>
      </c>
      <c r="AQ6" s="596" t="b">
        <f>IF(ISERROR(SUM($C6,$N6:$Q6,$V6)),TRUE,NOT(OR(AND(NOT(AX6),BF6),AND(SUM($V6)&gt;0,NOT(OR($BF6:$BI6))),$BF6+$BG6+$BH6+$BI6=1,AND(BF6,NOT(OR($AV6,$AW6))))))</f>
        <v>1</v>
      </c>
      <c r="AR6" s="596" t="b">
        <f t="shared" ref="AR6:AT6" si="3">IF(ISERROR(SUM($C6,$N6:$Q6,$V6)),TRUE,NOT(OR(AND(NOT(AY6),BG6),AND(SUM($V6)&gt;0,NOT(OR($BF6:$BI6))),$BF6+$BG6+$BH6+$BI6=1,AND(BG6,NOT(OR($AV6,$AW6))))))</f>
        <v>1</v>
      </c>
      <c r="AS6" s="596" t="b">
        <f t="shared" si="3"/>
        <v>1</v>
      </c>
      <c r="AT6" s="596" t="b">
        <f t="shared" si="3"/>
        <v>1</v>
      </c>
      <c r="AU6" s="679" t="b">
        <f>IF(OR(ISERROR(V6),ISTEXT(V6)),FALSE,NOT(OR(V6&lt;0,AND(V6=0,OR(BF6:BI6)),AND(V6&gt;0,NOT(OR(AV6,AW6))),AND(V6&gt;0,NOT(OR(BF6:BI6))),IF(OR(ISERROR(SUM(C6,N6:Q6)),ISTEXT(C6),ISTEXT(N6),ISTEXT(O6),ISTEXT(P6),ISTEXT(Q6)),FALSE,IF(OR(C6&lt;0,N6&lt;0,O6&lt;0,P6&lt;0,Q6&lt;0),FALSE,OR(AND(V6&gt;0,BF6,V6&gt;C6-N6),AND(V6&gt;0,BG6,V6&gt;C6-O6),AND(V6&gt;0,BH6,V6&gt;C6-P6),AND(V6&gt;0,BI6,V6&gt;C6-Q6)))))))</f>
        <v>1</v>
      </c>
      <c r="AV6" s="597" t="b">
        <v>0</v>
      </c>
      <c r="AW6" s="597" t="b">
        <v>0</v>
      </c>
      <c r="AX6" s="597" t="b">
        <v>0</v>
      </c>
      <c r="AY6" s="597" t="b">
        <v>0</v>
      </c>
      <c r="AZ6" s="597" t="b">
        <v>0</v>
      </c>
      <c r="BA6" s="597" t="b">
        <v>0</v>
      </c>
      <c r="BF6" s="597" t="b">
        <v>0</v>
      </c>
      <c r="BG6" s="597" t="b">
        <v>0</v>
      </c>
      <c r="BH6" s="597" t="b">
        <v>0</v>
      </c>
      <c r="BI6" s="597" t="b">
        <v>0</v>
      </c>
    </row>
    <row r="7" spans="1:61" x14ac:dyDescent="0.2">
      <c r="B7" s="683"/>
      <c r="C7" s="257"/>
      <c r="D7" s="74"/>
      <c r="E7" s="253"/>
      <c r="F7" s="74"/>
      <c r="G7" s="74"/>
      <c r="H7" s="74"/>
      <c r="I7" s="74"/>
      <c r="J7" s="74"/>
      <c r="K7" s="74"/>
      <c r="L7" s="74"/>
      <c r="M7" s="64"/>
      <c r="N7" s="259"/>
      <c r="O7" s="260"/>
      <c r="P7" s="260"/>
      <c r="Q7" s="257"/>
      <c r="R7" s="74"/>
      <c r="S7" s="74"/>
      <c r="T7" s="74"/>
      <c r="U7" s="74"/>
      <c r="V7" s="261"/>
      <c r="AB7" s="679" t="b">
        <f t="shared" ref="AB7:AB15" si="4">IF(OR(ISERROR(C7),ISTEXT(C7)),FALSE,NOT(OR(C7&lt;0,AND(C7=0,OR(AV7:BA7,BF7:BI7)),IF(OR(ISERROR(SUM(N7:Q7,V7)),ISTEXT(N7),ISTEXT(O7),ISTEXT(P7),ISTEXT(Q7),ISTEXT(V7)),FALSE,IF(OR(N7&lt;0,O7&lt;0,P7&lt;0,Q7&lt;0,V7&lt;0),FALSE,OR(AND(C7=0,N7+O7+P7+Q7+V7&gt;0),N7&gt;C7-IF(BF7,V7,0),O7&gt;C7-IF(BG7,V7,0),P7&gt;C7-IF(BH7,V7,0),Q7&gt;C7-IF(BI7,V7,0)))))))</f>
        <v>1</v>
      </c>
      <c r="AC7" s="596" t="b">
        <f t="shared" ref="AC7:AC15" si="5">IF(ISERROR(SUM(C7,N7:Q7,V7)),TRUE,NOT(AND(NOT(OR(AV7,AW7)),OR(SUM(C7)&gt;0,AX7:BA7,SUM(N7:Q7,V7)&gt;0,BF7:BI7))))</f>
        <v>1</v>
      </c>
      <c r="AD7" s="596" t="b">
        <f t="shared" ref="AD7:AD15" si="6">AC7</f>
        <v>1</v>
      </c>
      <c r="AE7" s="596" t="b">
        <f t="shared" ref="AE7:AE15" si="7">IF(ISERROR(SUM($C7,$N7:$Q7,$V7)),TRUE,NOT(OR(AND(SUM($C7)&gt;0,NOT(OR($AX7:$BA7))),AND(SUM($V7)&gt;0,NOT(OR($AX7:$BA7,$BF7:$BI7))),AND(AX7,NOT(OR($AV7,$AW7))),AND(NOT(AX7),OR(SUM(N7)&gt;0,BF7)),AND(OR($AV7,$AW7),NOT(OR($AX7:$BA7))))))</f>
        <v>1</v>
      </c>
      <c r="AF7" s="596" t="b">
        <f t="shared" ref="AF7:AF15" si="8">IF(ISERROR(SUM($C7,$N7:$Q7,$V7)),TRUE,NOT(OR(AND(SUM($C7)&gt;0,NOT(OR($AX7:$BA7))),AND(SUM($V7)&gt;0,NOT(OR($AX7:$BA7,$BF7:$BI7))),AND(AY7,NOT(OR($AV7,$AW7))),AND(NOT(AY7),OR(SUM(O7)&gt;0,BG7)),AND(OR($AV7,$AW7),NOT(OR($AX7:$BA7))))))</f>
        <v>1</v>
      </c>
      <c r="AG7" s="596" t="b">
        <f t="shared" ref="AG7:AG15" si="9">IF(ISERROR(SUM($C7,$N7:$Q7,$V7)),TRUE,NOT(OR(AND(SUM($C7)&gt;0,NOT(OR($AX7:$BA7))),AND(SUM($V7)&gt;0,NOT(OR($AX7:$BA7,$BF7:$BI7))),AND(AZ7,NOT(OR($AV7,$AW7))),AND(NOT(AZ7),OR(SUM(P7)&gt;0,BH7)),AND(OR($AV7,$AW7),NOT(OR($AX7:$BA7))))))</f>
        <v>1</v>
      </c>
      <c r="AH7" s="596" t="b">
        <f t="shared" ref="AH7:AH15" si="10">IF(ISERROR(SUM($C7,$N7:$Q7,$V7)),TRUE,NOT(OR(AND(SUM($C7)&gt;0,NOT(OR($AX7:$BA7))),AND(SUM($V7)&gt;0,NOT(OR($AX7:$BA7,$BF7:$BI7))),AND(BA7,NOT(OR($AV7,$AW7))),AND(NOT(BA7),OR(SUM(Q7)&gt;0,BI7)),AND(OR($AV7,$AW7),NOT(OR($AX7:$BA7))))))</f>
        <v>1</v>
      </c>
      <c r="AM7" s="679" t="b">
        <f t="shared" ref="AM7:AM15" si="11">IF(OR(ISERROR(N7),ISTEXT(N7)),FALSE,NOT(OR(N7&lt;0,AND(N7&gt;0,OR(NOT(OR($AV7,$AW7)),NOT(AX7))),IF(OR(ISERROR(SUM($C7,$N7:$Q7,$V7)),ISTEXT($C7),ISTEXT($N7),ISTEXT($O7),ISTEXT($P7),ISTEXT($Q7),ISTEXT($V7)),FALSE,IF(OR($C7&lt;0,$N7&lt;0,$O7&lt;0,$P7&lt;0,$Q7&lt;0,$V7&lt;0),FALSE,N7&gt;$C7-IF(BF7,$V7,0))))))</f>
        <v>1</v>
      </c>
      <c r="AN7" s="679" t="b">
        <f t="shared" ref="AN7:AN15" si="12">IF(OR(ISERROR(O7),ISTEXT(O7)),FALSE,NOT(OR(O7&lt;0,AND(O7&gt;0,OR(NOT(OR($AV7,$AW7)),NOT(AY7))),IF(OR(ISERROR(SUM($C7,$N7:$Q7,$V7)),ISTEXT($C7),ISTEXT($N7),ISTEXT($O7),ISTEXT($P7),ISTEXT($Q7),ISTEXT($V7)),FALSE,IF(OR($C7&lt;0,$N7&lt;0,$O7&lt;0,$P7&lt;0,$Q7&lt;0,$V7&lt;0),FALSE,O7&gt;$C7-IF(BG7,$V7,0))))))</f>
        <v>1</v>
      </c>
      <c r="AO7" s="679" t="b">
        <f t="shared" ref="AO7:AO15" si="13">IF(OR(ISERROR(P7),ISTEXT(P7)),FALSE,NOT(OR(P7&lt;0,AND(P7&gt;0,OR(NOT(OR($AV7,$AW7)),NOT(AZ7))),IF(OR(ISERROR(SUM($C7,$N7:$Q7,$V7)),ISTEXT($C7),ISTEXT($N7),ISTEXT($O7),ISTEXT($P7),ISTEXT($Q7),ISTEXT($V7)),FALSE,IF(OR($C7&lt;0,$N7&lt;0,$O7&lt;0,$P7&lt;0,$Q7&lt;0,$V7&lt;0),FALSE,P7&gt;$C7-IF(BH7,$V7,0))))))</f>
        <v>1</v>
      </c>
      <c r="AP7" s="679" t="b">
        <f t="shared" ref="AP7:AP15" si="14">IF(OR(ISERROR(Q7),ISTEXT(Q7)),FALSE,NOT(OR(Q7&lt;0,AND(Q7&gt;0,OR(NOT(OR($AV7,$AW7)),NOT(BA7))),IF(OR(ISERROR(SUM($C7,$N7:$Q7,$V7)),ISTEXT($C7),ISTEXT($N7),ISTEXT($O7),ISTEXT($P7),ISTEXT($Q7),ISTEXT($V7)),FALSE,IF(OR($C7&lt;0,$N7&lt;0,$O7&lt;0,$P7&lt;0,$Q7&lt;0,$V7&lt;0),FALSE,Q7&gt;$C7-IF(BI7,$V7,0))))))</f>
        <v>1</v>
      </c>
      <c r="AQ7" s="596" t="b">
        <f t="shared" ref="AQ7:AQ15" si="15">IF(ISERROR(SUM($C7,$N7:$Q7,$V7)),TRUE,NOT(OR(AND(NOT(AX7),BF7),AND(SUM($V7)&gt;0,NOT(OR($BF7:$BI7))),$BF7+$BG7+$BH7+$BI7=1,AND(BF7,NOT(OR($AV7,$AW7))))))</f>
        <v>1</v>
      </c>
      <c r="AR7" s="596" t="b">
        <f t="shared" ref="AR7:AR15" si="16">IF(ISERROR(SUM($C7,$N7:$Q7,$V7)),TRUE,NOT(OR(AND(NOT(AY7),BG7),AND(SUM($V7)&gt;0,NOT(OR($BF7:$BI7))),$BF7+$BG7+$BH7+$BI7=1,AND(BG7,NOT(OR($AV7,$AW7))))))</f>
        <v>1</v>
      </c>
      <c r="AS7" s="596" t="b">
        <f t="shared" ref="AS7:AS15" si="17">IF(ISERROR(SUM($C7,$N7:$Q7,$V7)),TRUE,NOT(OR(AND(NOT(AZ7),BH7),AND(SUM($V7)&gt;0,NOT(OR($BF7:$BI7))),$BF7+$BG7+$BH7+$BI7=1,AND(BH7,NOT(OR($AV7,$AW7))))))</f>
        <v>1</v>
      </c>
      <c r="AT7" s="596" t="b">
        <f t="shared" ref="AT7:AT15" si="18">IF(ISERROR(SUM($C7,$N7:$Q7,$V7)),TRUE,NOT(OR(AND(NOT(BA7),BI7),AND(SUM($V7)&gt;0,NOT(OR($BF7:$BI7))),$BF7+$BG7+$BH7+$BI7=1,AND(BI7,NOT(OR($AV7,$AW7))))))</f>
        <v>1</v>
      </c>
      <c r="AU7" s="679" t="b">
        <f t="shared" ref="AU7:AU15" si="19">IF(OR(ISERROR(V7),ISTEXT(V7)),FALSE,NOT(OR(V7&lt;0,AND(V7=0,OR(BF7:BI7)),AND(V7&gt;0,NOT(OR(AV7,AW7))),AND(V7&gt;0,NOT(OR(BF7:BI7))),IF(OR(ISERROR(SUM(C7,N7:Q7)),ISTEXT(C7),ISTEXT(N7),ISTEXT(O7),ISTEXT(P7),ISTEXT(Q7)),FALSE,IF(OR(C7&lt;0,N7&lt;0,O7&lt;0,P7&lt;0,Q7&lt;0),FALSE,OR(AND(V7&gt;0,BF7,V7&gt;C7-N7),AND(V7&gt;0,BG7,V7&gt;C7-O7),AND(V7&gt;0,BH7,V7&gt;C7-P7),AND(V7&gt;0,BI7,V7&gt;C7-Q7)))))))</f>
        <v>1</v>
      </c>
      <c r="AV7" s="597" t="b">
        <v>0</v>
      </c>
      <c r="AW7" s="597" t="b">
        <v>0</v>
      </c>
      <c r="AX7" s="597" t="b">
        <v>0</v>
      </c>
      <c r="AY7" s="597" t="b">
        <v>0</v>
      </c>
      <c r="AZ7" s="597" t="b">
        <v>0</v>
      </c>
      <c r="BA7" s="597" t="b">
        <v>0</v>
      </c>
      <c r="BF7" s="597" t="b">
        <v>0</v>
      </c>
      <c r="BG7" s="597" t="b">
        <v>0</v>
      </c>
      <c r="BH7" s="597" t="b">
        <v>0</v>
      </c>
      <c r="BI7" s="597" t="b">
        <v>0</v>
      </c>
    </row>
    <row r="8" spans="1:61" x14ac:dyDescent="0.2">
      <c r="B8" s="683"/>
      <c r="C8" s="257"/>
      <c r="D8" s="74"/>
      <c r="E8" s="253"/>
      <c r="F8" s="74"/>
      <c r="G8" s="74"/>
      <c r="H8" s="74"/>
      <c r="I8" s="74"/>
      <c r="J8" s="74"/>
      <c r="K8" s="74"/>
      <c r="L8" s="74"/>
      <c r="M8" s="64"/>
      <c r="N8" s="259"/>
      <c r="O8" s="260"/>
      <c r="P8" s="260"/>
      <c r="Q8" s="257"/>
      <c r="R8" s="74"/>
      <c r="S8" s="74"/>
      <c r="T8" s="74"/>
      <c r="U8" s="74"/>
      <c r="V8" s="261"/>
      <c r="AB8" s="679" t="b">
        <f t="shared" si="4"/>
        <v>1</v>
      </c>
      <c r="AC8" s="596" t="b">
        <f t="shared" si="5"/>
        <v>1</v>
      </c>
      <c r="AD8" s="596" t="b">
        <f t="shared" si="6"/>
        <v>1</v>
      </c>
      <c r="AE8" s="596" t="b">
        <f t="shared" si="7"/>
        <v>1</v>
      </c>
      <c r="AF8" s="596" t="b">
        <f t="shared" si="8"/>
        <v>1</v>
      </c>
      <c r="AG8" s="596" t="b">
        <f t="shared" si="9"/>
        <v>1</v>
      </c>
      <c r="AH8" s="596" t="b">
        <f t="shared" si="10"/>
        <v>1</v>
      </c>
      <c r="AM8" s="679" t="b">
        <f t="shared" si="11"/>
        <v>1</v>
      </c>
      <c r="AN8" s="679" t="b">
        <f t="shared" si="12"/>
        <v>1</v>
      </c>
      <c r="AO8" s="679" t="b">
        <f t="shared" si="13"/>
        <v>1</v>
      </c>
      <c r="AP8" s="679" t="b">
        <f t="shared" si="14"/>
        <v>1</v>
      </c>
      <c r="AQ8" s="596" t="b">
        <f t="shared" si="15"/>
        <v>1</v>
      </c>
      <c r="AR8" s="596" t="b">
        <f t="shared" si="16"/>
        <v>1</v>
      </c>
      <c r="AS8" s="596" t="b">
        <f t="shared" si="17"/>
        <v>1</v>
      </c>
      <c r="AT8" s="596" t="b">
        <f t="shared" si="18"/>
        <v>1</v>
      </c>
      <c r="AU8" s="679" t="b">
        <f t="shared" si="19"/>
        <v>1</v>
      </c>
      <c r="AV8" s="597" t="b">
        <v>0</v>
      </c>
      <c r="AW8" s="597" t="b">
        <v>0</v>
      </c>
      <c r="AX8" s="597" t="b">
        <v>0</v>
      </c>
      <c r="AY8" s="597" t="b">
        <v>0</v>
      </c>
      <c r="AZ8" s="597" t="b">
        <v>0</v>
      </c>
      <c r="BA8" s="597" t="b">
        <v>0</v>
      </c>
      <c r="BF8" s="597" t="b">
        <v>0</v>
      </c>
      <c r="BG8" s="597" t="b">
        <v>0</v>
      </c>
      <c r="BH8" s="597" t="b">
        <v>0</v>
      </c>
      <c r="BI8" s="597" t="b">
        <v>0</v>
      </c>
    </row>
    <row r="9" spans="1:61" x14ac:dyDescent="0.2">
      <c r="B9" s="683"/>
      <c r="C9" s="257"/>
      <c r="D9" s="74"/>
      <c r="E9" s="253"/>
      <c r="F9" s="74"/>
      <c r="G9" s="74"/>
      <c r="H9" s="74"/>
      <c r="I9" s="74"/>
      <c r="J9" s="74"/>
      <c r="K9" s="74"/>
      <c r="L9" s="74"/>
      <c r="M9" s="64"/>
      <c r="N9" s="259"/>
      <c r="O9" s="260"/>
      <c r="P9" s="260"/>
      <c r="Q9" s="257"/>
      <c r="R9" s="74"/>
      <c r="S9" s="74"/>
      <c r="T9" s="74"/>
      <c r="U9" s="74"/>
      <c r="V9" s="261"/>
      <c r="AB9" s="679" t="b">
        <f t="shared" si="4"/>
        <v>1</v>
      </c>
      <c r="AC9" s="596" t="b">
        <f t="shared" si="5"/>
        <v>1</v>
      </c>
      <c r="AD9" s="596" t="b">
        <f t="shared" si="6"/>
        <v>1</v>
      </c>
      <c r="AE9" s="596" t="b">
        <f t="shared" si="7"/>
        <v>1</v>
      </c>
      <c r="AF9" s="596" t="b">
        <f t="shared" si="8"/>
        <v>1</v>
      </c>
      <c r="AG9" s="596" t="b">
        <f t="shared" si="9"/>
        <v>1</v>
      </c>
      <c r="AH9" s="596" t="b">
        <f t="shared" si="10"/>
        <v>1</v>
      </c>
      <c r="AM9" s="679" t="b">
        <f t="shared" si="11"/>
        <v>1</v>
      </c>
      <c r="AN9" s="679" t="b">
        <f t="shared" si="12"/>
        <v>1</v>
      </c>
      <c r="AO9" s="679" t="b">
        <f t="shared" si="13"/>
        <v>1</v>
      </c>
      <c r="AP9" s="679" t="b">
        <f t="shared" si="14"/>
        <v>1</v>
      </c>
      <c r="AQ9" s="596" t="b">
        <f t="shared" si="15"/>
        <v>1</v>
      </c>
      <c r="AR9" s="596" t="b">
        <f t="shared" si="16"/>
        <v>1</v>
      </c>
      <c r="AS9" s="596" t="b">
        <f t="shared" si="17"/>
        <v>1</v>
      </c>
      <c r="AT9" s="596" t="b">
        <f t="shared" si="18"/>
        <v>1</v>
      </c>
      <c r="AU9" s="679" t="b">
        <f t="shared" si="19"/>
        <v>1</v>
      </c>
      <c r="AV9" s="597" t="b">
        <v>0</v>
      </c>
      <c r="AW9" s="597" t="b">
        <v>0</v>
      </c>
      <c r="AX9" s="597" t="b">
        <v>0</v>
      </c>
      <c r="AY9" s="597" t="b">
        <v>0</v>
      </c>
      <c r="AZ9" s="597" t="b">
        <v>0</v>
      </c>
      <c r="BA9" s="597" t="b">
        <v>0</v>
      </c>
      <c r="BF9" s="597" t="b">
        <v>0</v>
      </c>
      <c r="BG9" s="597" t="b">
        <v>0</v>
      </c>
      <c r="BH9" s="597" t="b">
        <v>0</v>
      </c>
      <c r="BI9" s="597" t="b">
        <v>0</v>
      </c>
    </row>
    <row r="10" spans="1:61" x14ac:dyDescent="0.2">
      <c r="B10" s="683"/>
      <c r="C10" s="257"/>
      <c r="D10" s="74"/>
      <c r="E10" s="253"/>
      <c r="F10" s="74"/>
      <c r="G10" s="74"/>
      <c r="H10" s="74"/>
      <c r="I10" s="74"/>
      <c r="J10" s="74"/>
      <c r="K10" s="74"/>
      <c r="L10" s="74"/>
      <c r="M10" s="64"/>
      <c r="N10" s="259"/>
      <c r="O10" s="260"/>
      <c r="P10" s="260"/>
      <c r="Q10" s="257"/>
      <c r="R10" s="74"/>
      <c r="S10" s="74"/>
      <c r="T10" s="74"/>
      <c r="U10" s="74"/>
      <c r="V10" s="261"/>
      <c r="AB10" s="679" t="b">
        <f t="shared" si="4"/>
        <v>1</v>
      </c>
      <c r="AC10" s="596" t="b">
        <f t="shared" si="5"/>
        <v>1</v>
      </c>
      <c r="AD10" s="596" t="b">
        <f t="shared" si="6"/>
        <v>1</v>
      </c>
      <c r="AE10" s="596" t="b">
        <f t="shared" si="7"/>
        <v>1</v>
      </c>
      <c r="AF10" s="596" t="b">
        <f t="shared" si="8"/>
        <v>1</v>
      </c>
      <c r="AG10" s="596" t="b">
        <f t="shared" si="9"/>
        <v>1</v>
      </c>
      <c r="AH10" s="596" t="b">
        <f t="shared" si="10"/>
        <v>1</v>
      </c>
      <c r="AM10" s="679" t="b">
        <f t="shared" si="11"/>
        <v>1</v>
      </c>
      <c r="AN10" s="679" t="b">
        <f t="shared" si="12"/>
        <v>1</v>
      </c>
      <c r="AO10" s="679" t="b">
        <f t="shared" si="13"/>
        <v>1</v>
      </c>
      <c r="AP10" s="679" t="b">
        <f t="shared" si="14"/>
        <v>1</v>
      </c>
      <c r="AQ10" s="596" t="b">
        <f t="shared" si="15"/>
        <v>1</v>
      </c>
      <c r="AR10" s="596" t="b">
        <f t="shared" si="16"/>
        <v>1</v>
      </c>
      <c r="AS10" s="596" t="b">
        <f t="shared" si="17"/>
        <v>1</v>
      </c>
      <c r="AT10" s="596" t="b">
        <f t="shared" si="18"/>
        <v>1</v>
      </c>
      <c r="AU10" s="679" t="b">
        <f t="shared" si="19"/>
        <v>1</v>
      </c>
      <c r="AV10" s="597" t="b">
        <v>0</v>
      </c>
      <c r="AW10" s="597" t="b">
        <v>0</v>
      </c>
      <c r="AX10" s="597" t="b">
        <v>0</v>
      </c>
      <c r="AY10" s="597" t="b">
        <v>0</v>
      </c>
      <c r="AZ10" s="597" t="b">
        <v>0</v>
      </c>
      <c r="BA10" s="597" t="b">
        <v>0</v>
      </c>
      <c r="BF10" s="597" t="b">
        <v>0</v>
      </c>
      <c r="BG10" s="597" t="b">
        <v>0</v>
      </c>
      <c r="BH10" s="597" t="b">
        <v>0</v>
      </c>
      <c r="BI10" s="597" t="b">
        <v>0</v>
      </c>
    </row>
    <row r="11" spans="1:61" x14ac:dyDescent="0.2">
      <c r="B11" s="683"/>
      <c r="C11" s="257"/>
      <c r="D11" s="74"/>
      <c r="E11" s="253"/>
      <c r="F11" s="74"/>
      <c r="G11" s="74"/>
      <c r="H11" s="74"/>
      <c r="I11" s="74"/>
      <c r="J11" s="74"/>
      <c r="K11" s="74"/>
      <c r="L11" s="74"/>
      <c r="M11" s="64"/>
      <c r="N11" s="259"/>
      <c r="O11" s="260"/>
      <c r="P11" s="260"/>
      <c r="Q11" s="257"/>
      <c r="R11" s="74"/>
      <c r="S11" s="74"/>
      <c r="T11" s="74"/>
      <c r="U11" s="74"/>
      <c r="V11" s="261"/>
      <c r="AB11" s="679" t="b">
        <f t="shared" si="4"/>
        <v>1</v>
      </c>
      <c r="AC11" s="596" t="b">
        <f t="shared" si="5"/>
        <v>1</v>
      </c>
      <c r="AD11" s="596" t="b">
        <f t="shared" si="6"/>
        <v>1</v>
      </c>
      <c r="AE11" s="596" t="b">
        <f t="shared" si="7"/>
        <v>1</v>
      </c>
      <c r="AF11" s="596" t="b">
        <f t="shared" si="8"/>
        <v>1</v>
      </c>
      <c r="AG11" s="596" t="b">
        <f t="shared" si="9"/>
        <v>1</v>
      </c>
      <c r="AH11" s="596" t="b">
        <f t="shared" si="10"/>
        <v>1</v>
      </c>
      <c r="AM11" s="679" t="b">
        <f t="shared" si="11"/>
        <v>1</v>
      </c>
      <c r="AN11" s="679" t="b">
        <f t="shared" si="12"/>
        <v>1</v>
      </c>
      <c r="AO11" s="679" t="b">
        <f t="shared" si="13"/>
        <v>1</v>
      </c>
      <c r="AP11" s="679" t="b">
        <f t="shared" si="14"/>
        <v>1</v>
      </c>
      <c r="AQ11" s="596" t="b">
        <f t="shared" si="15"/>
        <v>1</v>
      </c>
      <c r="AR11" s="596" t="b">
        <f t="shared" si="16"/>
        <v>1</v>
      </c>
      <c r="AS11" s="596" t="b">
        <f t="shared" si="17"/>
        <v>1</v>
      </c>
      <c r="AT11" s="596" t="b">
        <f t="shared" si="18"/>
        <v>1</v>
      </c>
      <c r="AU11" s="679" t="b">
        <f t="shared" si="19"/>
        <v>1</v>
      </c>
      <c r="AV11" s="597" t="b">
        <v>0</v>
      </c>
      <c r="AW11" s="597" t="b">
        <v>0</v>
      </c>
      <c r="AX11" s="597" t="b">
        <v>0</v>
      </c>
      <c r="AY11" s="597" t="b">
        <v>0</v>
      </c>
      <c r="AZ11" s="597" t="b">
        <v>0</v>
      </c>
      <c r="BA11" s="597" t="b">
        <v>0</v>
      </c>
      <c r="BF11" s="597" t="b">
        <v>0</v>
      </c>
      <c r="BG11" s="597" t="b">
        <v>0</v>
      </c>
      <c r="BH11" s="597" t="b">
        <v>0</v>
      </c>
      <c r="BI11" s="597" t="b">
        <v>0</v>
      </c>
    </row>
    <row r="12" spans="1:61" x14ac:dyDescent="0.2">
      <c r="B12" s="683"/>
      <c r="C12" s="257"/>
      <c r="D12" s="74"/>
      <c r="E12" s="253"/>
      <c r="F12" s="74"/>
      <c r="G12" s="74"/>
      <c r="H12" s="74"/>
      <c r="I12" s="74"/>
      <c r="J12" s="74"/>
      <c r="K12" s="74"/>
      <c r="L12" s="74"/>
      <c r="M12" s="64"/>
      <c r="N12" s="259"/>
      <c r="O12" s="260"/>
      <c r="P12" s="260"/>
      <c r="Q12" s="257"/>
      <c r="R12" s="74"/>
      <c r="S12" s="74"/>
      <c r="T12" s="74"/>
      <c r="U12" s="74"/>
      <c r="V12" s="261"/>
      <c r="AB12" s="679" t="b">
        <f t="shared" si="4"/>
        <v>1</v>
      </c>
      <c r="AC12" s="596" t="b">
        <f t="shared" si="5"/>
        <v>1</v>
      </c>
      <c r="AD12" s="596" t="b">
        <f t="shared" si="6"/>
        <v>1</v>
      </c>
      <c r="AE12" s="596" t="b">
        <f t="shared" si="7"/>
        <v>1</v>
      </c>
      <c r="AF12" s="596" t="b">
        <f t="shared" si="8"/>
        <v>1</v>
      </c>
      <c r="AG12" s="596" t="b">
        <f t="shared" si="9"/>
        <v>1</v>
      </c>
      <c r="AH12" s="596" t="b">
        <f t="shared" si="10"/>
        <v>1</v>
      </c>
      <c r="AM12" s="679" t="b">
        <f t="shared" si="11"/>
        <v>1</v>
      </c>
      <c r="AN12" s="679" t="b">
        <f t="shared" si="12"/>
        <v>1</v>
      </c>
      <c r="AO12" s="679" t="b">
        <f t="shared" si="13"/>
        <v>1</v>
      </c>
      <c r="AP12" s="679" t="b">
        <f t="shared" si="14"/>
        <v>1</v>
      </c>
      <c r="AQ12" s="596" t="b">
        <f t="shared" si="15"/>
        <v>1</v>
      </c>
      <c r="AR12" s="596" t="b">
        <f t="shared" si="16"/>
        <v>1</v>
      </c>
      <c r="AS12" s="596" t="b">
        <f t="shared" si="17"/>
        <v>1</v>
      </c>
      <c r="AT12" s="596" t="b">
        <f t="shared" si="18"/>
        <v>1</v>
      </c>
      <c r="AU12" s="679" t="b">
        <f t="shared" si="19"/>
        <v>1</v>
      </c>
      <c r="AV12" s="597" t="b">
        <v>0</v>
      </c>
      <c r="AW12" s="597" t="b">
        <v>0</v>
      </c>
      <c r="AX12" s="597" t="b">
        <v>0</v>
      </c>
      <c r="AY12" s="597" t="b">
        <v>0</v>
      </c>
      <c r="AZ12" s="597" t="b">
        <v>0</v>
      </c>
      <c r="BA12" s="597" t="b">
        <v>0</v>
      </c>
      <c r="BF12" s="597" t="b">
        <v>0</v>
      </c>
      <c r="BG12" s="597" t="b">
        <v>0</v>
      </c>
      <c r="BH12" s="597" t="b">
        <v>0</v>
      </c>
      <c r="BI12" s="597" t="b">
        <v>0</v>
      </c>
    </row>
    <row r="13" spans="1:61" x14ac:dyDescent="0.2">
      <c r="B13" s="683"/>
      <c r="C13" s="257"/>
      <c r="D13" s="74"/>
      <c r="E13" s="253"/>
      <c r="F13" s="74"/>
      <c r="G13" s="74"/>
      <c r="H13" s="74"/>
      <c r="I13" s="74"/>
      <c r="J13" s="74"/>
      <c r="K13" s="74"/>
      <c r="L13" s="74"/>
      <c r="M13" s="64"/>
      <c r="N13" s="259"/>
      <c r="O13" s="260"/>
      <c r="P13" s="260"/>
      <c r="Q13" s="257"/>
      <c r="R13" s="74"/>
      <c r="S13" s="74"/>
      <c r="T13" s="74"/>
      <c r="U13" s="74"/>
      <c r="V13" s="261"/>
      <c r="AB13" s="679" t="b">
        <f t="shared" si="4"/>
        <v>1</v>
      </c>
      <c r="AC13" s="596" t="b">
        <f t="shared" si="5"/>
        <v>1</v>
      </c>
      <c r="AD13" s="596" t="b">
        <f t="shared" si="6"/>
        <v>1</v>
      </c>
      <c r="AE13" s="596" t="b">
        <f t="shared" si="7"/>
        <v>1</v>
      </c>
      <c r="AF13" s="596" t="b">
        <f t="shared" si="8"/>
        <v>1</v>
      </c>
      <c r="AG13" s="596" t="b">
        <f t="shared" si="9"/>
        <v>1</v>
      </c>
      <c r="AH13" s="596" t="b">
        <f t="shared" si="10"/>
        <v>1</v>
      </c>
      <c r="AM13" s="679" t="b">
        <f t="shared" si="11"/>
        <v>1</v>
      </c>
      <c r="AN13" s="679" t="b">
        <f t="shared" si="12"/>
        <v>1</v>
      </c>
      <c r="AO13" s="679" t="b">
        <f t="shared" si="13"/>
        <v>1</v>
      </c>
      <c r="AP13" s="679" t="b">
        <f t="shared" si="14"/>
        <v>1</v>
      </c>
      <c r="AQ13" s="596" t="b">
        <f t="shared" si="15"/>
        <v>1</v>
      </c>
      <c r="AR13" s="596" t="b">
        <f t="shared" si="16"/>
        <v>1</v>
      </c>
      <c r="AS13" s="596" t="b">
        <f t="shared" si="17"/>
        <v>1</v>
      </c>
      <c r="AT13" s="596" t="b">
        <f t="shared" si="18"/>
        <v>1</v>
      </c>
      <c r="AU13" s="679" t="b">
        <f t="shared" si="19"/>
        <v>1</v>
      </c>
      <c r="AV13" s="597" t="b">
        <v>0</v>
      </c>
      <c r="AW13" s="597" t="b">
        <v>0</v>
      </c>
      <c r="AX13" s="597" t="b">
        <v>0</v>
      </c>
      <c r="AY13" s="597" t="b">
        <v>0</v>
      </c>
      <c r="AZ13" s="597" t="b">
        <v>0</v>
      </c>
      <c r="BA13" s="597" t="b">
        <v>0</v>
      </c>
      <c r="BF13" s="597" t="b">
        <v>0</v>
      </c>
      <c r="BG13" s="597" t="b">
        <v>0</v>
      </c>
      <c r="BH13" s="597" t="b">
        <v>0</v>
      </c>
      <c r="BI13" s="597" t="b">
        <v>0</v>
      </c>
    </row>
    <row r="14" spans="1:61" x14ac:dyDescent="0.2">
      <c r="B14" s="683"/>
      <c r="C14" s="257"/>
      <c r="D14" s="74"/>
      <c r="E14" s="253"/>
      <c r="F14" s="74"/>
      <c r="G14" s="74"/>
      <c r="H14" s="74"/>
      <c r="I14" s="74"/>
      <c r="J14" s="74"/>
      <c r="K14" s="74"/>
      <c r="L14" s="74"/>
      <c r="M14" s="64"/>
      <c r="N14" s="259"/>
      <c r="O14" s="260"/>
      <c r="P14" s="260"/>
      <c r="Q14" s="257"/>
      <c r="R14" s="74"/>
      <c r="S14" s="74"/>
      <c r="T14" s="74"/>
      <c r="U14" s="74"/>
      <c r="V14" s="261"/>
      <c r="AB14" s="679" t="b">
        <f t="shared" si="4"/>
        <v>1</v>
      </c>
      <c r="AC14" s="596" t="b">
        <f t="shared" si="5"/>
        <v>1</v>
      </c>
      <c r="AD14" s="596" t="b">
        <f t="shared" si="6"/>
        <v>1</v>
      </c>
      <c r="AE14" s="596" t="b">
        <f t="shared" si="7"/>
        <v>1</v>
      </c>
      <c r="AF14" s="596" t="b">
        <f t="shared" si="8"/>
        <v>1</v>
      </c>
      <c r="AG14" s="596" t="b">
        <f t="shared" si="9"/>
        <v>1</v>
      </c>
      <c r="AH14" s="596" t="b">
        <f t="shared" si="10"/>
        <v>1</v>
      </c>
      <c r="AM14" s="679" t="b">
        <f t="shared" si="11"/>
        <v>1</v>
      </c>
      <c r="AN14" s="679" t="b">
        <f t="shared" si="12"/>
        <v>1</v>
      </c>
      <c r="AO14" s="679" t="b">
        <f t="shared" si="13"/>
        <v>1</v>
      </c>
      <c r="AP14" s="679" t="b">
        <f t="shared" si="14"/>
        <v>1</v>
      </c>
      <c r="AQ14" s="596" t="b">
        <f t="shared" si="15"/>
        <v>1</v>
      </c>
      <c r="AR14" s="596" t="b">
        <f t="shared" si="16"/>
        <v>1</v>
      </c>
      <c r="AS14" s="596" t="b">
        <f t="shared" si="17"/>
        <v>1</v>
      </c>
      <c r="AT14" s="596" t="b">
        <f t="shared" si="18"/>
        <v>1</v>
      </c>
      <c r="AU14" s="679" t="b">
        <f t="shared" si="19"/>
        <v>1</v>
      </c>
      <c r="AV14" s="597" t="b">
        <v>0</v>
      </c>
      <c r="AW14" s="597" t="b">
        <v>0</v>
      </c>
      <c r="AX14" s="597" t="b">
        <v>0</v>
      </c>
      <c r="AY14" s="597" t="b">
        <v>0</v>
      </c>
      <c r="AZ14" s="597" t="b">
        <v>0</v>
      </c>
      <c r="BA14" s="597" t="b">
        <v>0</v>
      </c>
      <c r="BF14" s="597" t="b">
        <v>0</v>
      </c>
      <c r="BG14" s="597" t="b">
        <v>0</v>
      </c>
      <c r="BH14" s="597" t="b">
        <v>0</v>
      </c>
      <c r="BI14" s="597" t="b">
        <v>0</v>
      </c>
    </row>
    <row r="15" spans="1:61" x14ac:dyDescent="0.2">
      <c r="B15" s="684"/>
      <c r="C15" s="381"/>
      <c r="D15" s="74"/>
      <c r="E15" s="253"/>
      <c r="F15" s="74"/>
      <c r="G15" s="74"/>
      <c r="H15" s="74"/>
      <c r="I15" s="74"/>
      <c r="J15" s="74"/>
      <c r="K15" s="74"/>
      <c r="L15" s="74"/>
      <c r="M15" s="64"/>
      <c r="N15" s="380"/>
      <c r="O15" s="377"/>
      <c r="P15" s="377"/>
      <c r="Q15" s="381"/>
      <c r="R15" s="74"/>
      <c r="S15" s="74"/>
      <c r="T15" s="74"/>
      <c r="U15" s="74"/>
      <c r="V15" s="262"/>
      <c r="AB15" s="679" t="b">
        <f t="shared" si="4"/>
        <v>1</v>
      </c>
      <c r="AC15" s="596" t="b">
        <f t="shared" si="5"/>
        <v>1</v>
      </c>
      <c r="AD15" s="596" t="b">
        <f t="shared" si="6"/>
        <v>1</v>
      </c>
      <c r="AE15" s="596" t="b">
        <f t="shared" si="7"/>
        <v>1</v>
      </c>
      <c r="AF15" s="596" t="b">
        <f t="shared" si="8"/>
        <v>1</v>
      </c>
      <c r="AG15" s="596" t="b">
        <f t="shared" si="9"/>
        <v>1</v>
      </c>
      <c r="AH15" s="596" t="b">
        <f t="shared" si="10"/>
        <v>1</v>
      </c>
      <c r="AM15" s="679" t="b">
        <f t="shared" si="11"/>
        <v>1</v>
      </c>
      <c r="AN15" s="679" t="b">
        <f t="shared" si="12"/>
        <v>1</v>
      </c>
      <c r="AO15" s="679" t="b">
        <f t="shared" si="13"/>
        <v>1</v>
      </c>
      <c r="AP15" s="679" t="b">
        <f t="shared" si="14"/>
        <v>1</v>
      </c>
      <c r="AQ15" s="596" t="b">
        <f t="shared" si="15"/>
        <v>1</v>
      </c>
      <c r="AR15" s="596" t="b">
        <f t="shared" si="16"/>
        <v>1</v>
      </c>
      <c r="AS15" s="596" t="b">
        <f t="shared" si="17"/>
        <v>1</v>
      </c>
      <c r="AT15" s="596" t="b">
        <f t="shared" si="18"/>
        <v>1</v>
      </c>
      <c r="AU15" s="679" t="b">
        <f t="shared" si="19"/>
        <v>1</v>
      </c>
      <c r="AV15" s="597" t="b">
        <v>0</v>
      </c>
      <c r="AW15" s="597" t="b">
        <v>0</v>
      </c>
      <c r="AX15" s="597" t="b">
        <v>0</v>
      </c>
      <c r="AY15" s="597" t="b">
        <v>0</v>
      </c>
      <c r="AZ15" s="597" t="b">
        <v>0</v>
      </c>
      <c r="BA15" s="597" t="b">
        <v>0</v>
      </c>
      <c r="BF15" s="597" t="b">
        <v>0</v>
      </c>
      <c r="BG15" s="597" t="b">
        <v>0</v>
      </c>
      <c r="BH15" s="597" t="b">
        <v>0</v>
      </c>
      <c r="BI15" s="597" t="b">
        <v>0</v>
      </c>
    </row>
    <row r="16" spans="1:61" x14ac:dyDescent="0.2">
      <c r="B16" s="675" t="s">
        <v>590</v>
      </c>
      <c r="C16" s="74"/>
      <c r="D16" s="74"/>
      <c r="E16" s="74"/>
      <c r="F16" s="71" t="s">
        <v>608</v>
      </c>
      <c r="G16" s="74"/>
      <c r="H16" s="74"/>
      <c r="I16" s="74"/>
      <c r="J16" s="71" t="s">
        <v>435</v>
      </c>
      <c r="K16" s="74"/>
      <c r="L16" s="74"/>
      <c r="M16" s="64"/>
      <c r="N16" s="800" t="s">
        <v>3</v>
      </c>
      <c r="O16" s="800"/>
      <c r="P16" s="800"/>
      <c r="Q16" s="680"/>
      <c r="R16" s="64"/>
      <c r="S16" s="64"/>
      <c r="T16" s="64"/>
      <c r="U16" s="64"/>
      <c r="V16" s="75" t="s">
        <v>464</v>
      </c>
    </row>
    <row r="17" spans="1:61" x14ac:dyDescent="0.2">
      <c r="B17" s="252" t="s">
        <v>438</v>
      </c>
      <c r="C17" s="74" t="s">
        <v>589</v>
      </c>
      <c r="D17" s="74"/>
      <c r="E17" s="74"/>
      <c r="F17" s="74" t="s">
        <v>436</v>
      </c>
      <c r="G17" s="74" t="s">
        <v>437</v>
      </c>
      <c r="H17" s="74" t="s">
        <v>441</v>
      </c>
      <c r="I17" s="253" t="s">
        <v>442</v>
      </c>
      <c r="J17" s="74" t="s">
        <v>609</v>
      </c>
      <c r="K17" s="263" t="s">
        <v>610</v>
      </c>
      <c r="L17" s="74" t="s">
        <v>4</v>
      </c>
      <c r="M17" s="263" t="s">
        <v>8</v>
      </c>
      <c r="N17" s="74" t="s">
        <v>609</v>
      </c>
      <c r="O17" s="263" t="s">
        <v>610</v>
      </c>
      <c r="P17" s="74" t="s">
        <v>4</v>
      </c>
      <c r="Q17" s="74" t="s">
        <v>8</v>
      </c>
      <c r="R17" s="74" t="s">
        <v>609</v>
      </c>
      <c r="S17" s="64" t="s">
        <v>610</v>
      </c>
      <c r="T17" s="74" t="s">
        <v>4</v>
      </c>
      <c r="U17" s="74" t="s">
        <v>8</v>
      </c>
      <c r="V17" s="75" t="s">
        <v>465</v>
      </c>
    </row>
    <row r="18" spans="1:61" x14ac:dyDescent="0.2">
      <c r="B18" s="685"/>
      <c r="C18" s="676"/>
      <c r="D18" s="264"/>
      <c r="E18" s="264"/>
      <c r="F18" s="74"/>
      <c r="G18" s="74"/>
      <c r="H18" s="74"/>
      <c r="I18" s="253"/>
      <c r="J18" s="74"/>
      <c r="K18" s="74"/>
      <c r="L18" s="74"/>
      <c r="M18" s="74"/>
      <c r="N18" s="677"/>
      <c r="O18" s="678"/>
      <c r="P18" s="678"/>
      <c r="Q18" s="676"/>
      <c r="R18" s="74"/>
      <c r="S18" s="74"/>
      <c r="T18" s="74"/>
      <c r="U18" s="74"/>
      <c r="V18" s="256"/>
      <c r="AB18" s="679" t="b">
        <f>IF(OR(ISERROR(C18),ISTEXT(C18)),FALSE,NOT(OR(C18&lt;0,AND(C18=0,OR(AX18:BI18)),IF(OR(ISERROR(SUM(N18:Q18,V18)),ISTEXT(N18),ISTEXT(O18),ISTEXT(P18),ISTEXT(Q18),ISTEXT(V18)),FALSE,IF(OR(N18&lt;0,O18&lt;0,P18&lt;0,Q18&lt;0,V18&lt;0),FALSE,OR(AND(C18=0,N18+O18+P18+Q18+V18&gt;0),N18&gt;C18-IF(BF18,V18,0),O18&gt;C18-IF(BG18,V18,0),P18&gt;C18-IF(BH18,V18,0),Q18&gt;C18-IF(BI18,V18,0)))))))</f>
        <v>1</v>
      </c>
      <c r="AE18" s="596" t="b">
        <f>IF(ISERROR(SUM($C18,$N18:$Q18,$V18)),TRUE,NOT(AND(NOT(OR($AX18:$BA18)),OR(SUM($C18)&gt;0,$BB18:$BE18,SUM($N18:$Q18,$V18)&gt;0,$BF18:$BI18))))</f>
        <v>1</v>
      </c>
      <c r="AF18" s="596" t="b">
        <f>$AE18</f>
        <v>1</v>
      </c>
      <c r="AG18" s="596" t="b">
        <f t="shared" ref="AG18:AH20" si="20">$AE18</f>
        <v>1</v>
      </c>
      <c r="AH18" s="596" t="b">
        <f t="shared" si="20"/>
        <v>1</v>
      </c>
      <c r="AI18" s="596" t="b">
        <f>IF(ISERROR(SUM($C18,$N18:$Q18,$V18)),TRUE,NOT(OR(AND(SUM($C18)&gt;0,NOT(OR($BB18:$BE18))),AND(SUM($V18)&gt;0,NOT(OR($BB18:$BI18))),AND(BB18,NOT(OR($AX18:$BA18))),AND(NOT(BB18),OR(SUM(N18)&gt;0,BF18)),AND(OR($AX18:$BA18),NOT(OR($BB18:$BE18))))))</f>
        <v>1</v>
      </c>
      <c r="AJ18" s="596" t="b">
        <f t="shared" ref="AJ18:AL18" si="21">IF(ISERROR(SUM($C18,$N18:$Q18,$V18)),TRUE,NOT(OR(AND(SUM($C18)&gt;0,NOT(OR($BB18:$BE18))),AND(SUM($V18)&gt;0,NOT(OR($BB18:$BI18))),AND(BC18,NOT(OR($AX18:$BA18))),AND(NOT(BC18),OR(SUM(O18)&gt;0,BG18)),AND(OR($AX18:$BA18),NOT(OR($BB18:$BE18))))))</f>
        <v>1</v>
      </c>
      <c r="AK18" s="596" t="b">
        <f t="shared" si="21"/>
        <v>1</v>
      </c>
      <c r="AL18" s="596" t="b">
        <f t="shared" si="21"/>
        <v>1</v>
      </c>
      <c r="AM18" s="679" t="b">
        <f>IF(OR(ISERROR(N18),ISTEXT(18)),FALSE,NOT(OR(N18&lt;0,AND(N18&gt;0,OR(NOT(OR($AX18:$BA18)),NOT(BB18))),IF(OR(ISERROR(SUM($C18,$N18:$Q18,$V18)),ISTEXT($C18),ISTEXT($N18),ISTEXT($O18),ISTEXT($P18),ISTEXT($Q18),ISTEXT($V18)),FALSE,IF(OR($C18&lt;0,$N18&lt;0,$O18&lt;0,$P18&lt;0,$Q18&lt;0,$V18&lt;0),FALSE,N18&gt;$C18-IF(BF18,$V18,0))))))</f>
        <v>1</v>
      </c>
      <c r="AN18" s="679" t="b">
        <f t="shared" ref="AN18" si="22">IF(OR(ISERROR(O18),ISTEXT(18)),FALSE,NOT(OR(O18&lt;0,AND(O18&gt;0,OR(NOT(OR($AX18:$BA18)),NOT(BC18))),IF(OR(ISERROR(SUM($C18,$N18:$Q18,$V18)),ISTEXT($C18),ISTEXT($N18),ISTEXT($O18),ISTEXT($P18),ISTEXT($Q18),ISTEXT($V18)),FALSE,IF(OR($C18&lt;0,$N18&lt;0,$O18&lt;0,$P18&lt;0,$Q18&lt;0,$V18&lt;0),FALSE,O18&gt;$C18-IF(BG18,$V18,0))))))</f>
        <v>1</v>
      </c>
      <c r="AO18" s="679" t="b">
        <f t="shared" ref="AO18" si="23">IF(OR(ISERROR(P18),ISTEXT(18)),FALSE,NOT(OR(P18&lt;0,AND(P18&gt;0,OR(NOT(OR($AX18:$BA18)),NOT(BD18))),IF(OR(ISERROR(SUM($C18,$N18:$Q18,$V18)),ISTEXT($C18),ISTEXT($N18),ISTEXT($O18),ISTEXT($P18),ISTEXT($Q18),ISTEXT($V18)),FALSE,IF(OR($C18&lt;0,$N18&lt;0,$O18&lt;0,$P18&lt;0,$Q18&lt;0,$V18&lt;0),FALSE,P18&gt;$C18-IF(BH18,$V18,0))))))</f>
        <v>1</v>
      </c>
      <c r="AP18" s="679" t="b">
        <f t="shared" ref="AP18" si="24">IF(OR(ISERROR(Q18),ISTEXT(18)),FALSE,NOT(OR(Q18&lt;0,AND(Q18&gt;0,OR(NOT(OR($AX18:$BA18)),NOT(BE18))),IF(OR(ISERROR(SUM($C18,$N18:$Q18,$V18)),ISTEXT($C18),ISTEXT($N18),ISTEXT($O18),ISTEXT($P18),ISTEXT($Q18),ISTEXT($V18)),FALSE,IF(OR($C18&lt;0,$N18&lt;0,$O18&lt;0,$P18&lt;0,$Q18&lt;0,$V18&lt;0),FALSE,Q18&gt;$C18-IF(BI18,$V18,0))))))</f>
        <v>1</v>
      </c>
      <c r="AQ18" s="679" t="b">
        <f>IF(ISERROR(SUM($C18,$N18:$Q18,$V18)),TRUE,NOT(OR(AND(NOT(BB18),BF18),AND(SUM($V18)&gt;0,NOT(OR($BF18:$BI18))),$BF18+$BG18+$BH18+$BI18=1,AND(BF18,NOT(OR($AX18:$BA18))))))</f>
        <v>1</v>
      </c>
      <c r="AR18" s="679" t="b">
        <f t="shared" ref="AR18:AT18" si="25">IF(ISERROR(SUM($C18,$N18:$Q18,$V18)),TRUE,NOT(OR(AND(NOT(BC18),BG18),AND(SUM($V18)&gt;0,NOT(OR($BF18:$BI18))),$BF18+$BG18+$BH18+$BI18=1,AND(BG18,NOT(OR($AX18:$BA18))))))</f>
        <v>1</v>
      </c>
      <c r="AS18" s="679" t="b">
        <f t="shared" si="25"/>
        <v>1</v>
      </c>
      <c r="AT18" s="679" t="b">
        <f t="shared" si="25"/>
        <v>1</v>
      </c>
      <c r="AU18" s="679" t="b">
        <f>IF(OR(ISERROR(V18),ISTEXT(V18)),FALSE,NOT(OR(V18&lt;0,AND(V18=0,OR(BF18:BI18)),AND(V18&gt;0,OR(NOT(OR(AX18:BA18)),NOT(OR(BF18:BI18)),AND(NOT(BB18),BF18),AND(NOT(BC18),BG18),AND(NOT(BD18),BH18),AND(NOT(BE18),BI18))),IF(OR(ISERROR(SUM(C18,N18:Q18)),ISTEXT(C18),ISTEXT(N18),ISTEXT(O18),ISTEXT(P18),ISTEXT(Q18)),FALSE,IF(OR(C18&lt;0,N18&lt;0,O18&lt;0,P18&lt;0,Q18&lt;0),FALSE,OR(AND(V18&gt;0,BF18,V18&gt;C18-N18),AND(V18&gt;0,BG18,V18&gt;C18-O18),AND(V18&gt;0,BH18,V18&gt;C18-P18),AND(V18&gt;0,BI18,V18&gt;C18-Q18)))))))</f>
        <v>1</v>
      </c>
      <c r="AX18" s="597" t="b">
        <v>0</v>
      </c>
      <c r="AY18" s="597" t="b">
        <v>0</v>
      </c>
      <c r="AZ18" s="597" t="b">
        <v>0</v>
      </c>
      <c r="BA18" s="597" t="b">
        <v>0</v>
      </c>
      <c r="BB18" s="597" t="b">
        <v>0</v>
      </c>
      <c r="BC18" s="597" t="b">
        <v>0</v>
      </c>
      <c r="BD18" s="597" t="b">
        <v>0</v>
      </c>
      <c r="BE18" s="597" t="b">
        <v>0</v>
      </c>
      <c r="BF18" s="597" t="b">
        <v>0</v>
      </c>
      <c r="BG18" s="597" t="b">
        <v>0</v>
      </c>
      <c r="BH18" s="597" t="b">
        <v>0</v>
      </c>
      <c r="BI18" s="597" t="b">
        <v>0</v>
      </c>
    </row>
    <row r="19" spans="1:61" x14ac:dyDescent="0.2">
      <c r="B19" s="683"/>
      <c r="C19" s="257"/>
      <c r="D19" s="264"/>
      <c r="E19" s="264"/>
      <c r="F19" s="74"/>
      <c r="G19" s="74"/>
      <c r="H19" s="74"/>
      <c r="I19" s="253"/>
      <c r="J19" s="74"/>
      <c r="K19" s="74"/>
      <c r="L19" s="74"/>
      <c r="M19" s="74"/>
      <c r="N19" s="259"/>
      <c r="O19" s="260"/>
      <c r="P19" s="260"/>
      <c r="Q19" s="257"/>
      <c r="R19" s="74"/>
      <c r="S19" s="74"/>
      <c r="T19" s="74"/>
      <c r="U19" s="74"/>
      <c r="V19" s="261"/>
      <c r="AB19" s="679" t="b">
        <f t="shared" ref="AB19:AB20" si="26">IF(OR(ISERROR(C19),ISTEXT(C19)),FALSE,NOT(OR(C19&lt;0,AND(C19=0,OR(AX19:BI19)),IF(OR(ISERROR(SUM(N19:Q19,V19)),ISTEXT(N19),ISTEXT(O19),ISTEXT(P19),ISTEXT(Q19),ISTEXT(V19)),FALSE,IF(OR(N19&lt;0,O19&lt;0,P19&lt;0,Q19&lt;0,V19&lt;0),FALSE,OR(AND(C19=0,N19+O19+P19+Q19+V19&gt;0),N19&gt;C19-IF(BF19,V19,0),O19&gt;C19-IF(BG19,V19,0),P19&gt;C19-IF(BH19,V19,0),Q19&gt;C19-IF(BI19,V19,0)))))))</f>
        <v>1</v>
      </c>
      <c r="AE19" s="596" t="b">
        <f t="shared" ref="AE19:AE20" si="27">IF(ISERROR(SUM($C19,$N19:$Q19,$V19)),TRUE,NOT(AND(NOT(OR($AX19:$BA19)),OR(SUM($C19)&gt;0,$BB19:$BE19,SUM($N19:$Q19,$V19)&gt;0,$BF19:$BI19))))</f>
        <v>1</v>
      </c>
      <c r="AF19" s="596" t="b">
        <f t="shared" ref="AF19:AF20" si="28">$AE19</f>
        <v>1</v>
      </c>
      <c r="AG19" s="596" t="b">
        <f t="shared" si="20"/>
        <v>1</v>
      </c>
      <c r="AH19" s="596" t="b">
        <f t="shared" si="20"/>
        <v>1</v>
      </c>
      <c r="AI19" s="596" t="b">
        <f t="shared" ref="AI19:AI20" si="29">IF(ISERROR(SUM($C19,$N19:$Q19,$V19)),TRUE,NOT(OR(AND(SUM($C19)&gt;0,NOT(OR($BB19:$BE19))),AND(SUM($V19)&gt;0,NOT(OR($BB19:$BI19))),AND(BB19,NOT(OR($AX19:$BA19))),AND(NOT(BB19),OR(SUM(N19)&gt;0,BF19)),AND(OR($AX19:$BA19),NOT(OR($BB19:$BE19))))))</f>
        <v>1</v>
      </c>
      <c r="AJ19" s="596" t="b">
        <f t="shared" ref="AJ19:AJ20" si="30">IF(ISERROR(SUM($C19,$N19:$Q19,$V19)),TRUE,NOT(OR(AND(SUM($C19)&gt;0,NOT(OR($BB19:$BE19))),AND(SUM($V19)&gt;0,NOT(OR($BB19:$BI19))),AND(BC19,NOT(OR($AX19:$BA19))),AND(NOT(BC19),OR(SUM(O19)&gt;0,BG19)),AND(OR($AX19:$BA19),NOT(OR($BB19:$BE19))))))</f>
        <v>1</v>
      </c>
      <c r="AK19" s="596" t="b">
        <f t="shared" ref="AK19:AK20" si="31">IF(ISERROR(SUM($C19,$N19:$Q19,$V19)),TRUE,NOT(OR(AND(SUM($C19)&gt;0,NOT(OR($BB19:$BE19))),AND(SUM($V19)&gt;0,NOT(OR($BB19:$BI19))),AND(BD19,NOT(OR($AX19:$BA19))),AND(NOT(BD19),OR(SUM(P19)&gt;0,BH19)),AND(OR($AX19:$BA19),NOT(OR($BB19:$BE19))))))</f>
        <v>1</v>
      </c>
      <c r="AL19" s="596" t="b">
        <f t="shared" ref="AL19:AL20" si="32">IF(ISERROR(SUM($C19,$N19:$Q19,$V19)),TRUE,NOT(OR(AND(SUM($C19)&gt;0,NOT(OR($BB19:$BE19))),AND(SUM($V19)&gt;0,NOT(OR($BB19:$BI19))),AND(BE19,NOT(OR($AX19:$BA19))),AND(NOT(BE19),OR(SUM(Q19)&gt;0,BI19)),AND(OR($AX19:$BA19),NOT(OR($BB19:$BE19))))))</f>
        <v>1</v>
      </c>
      <c r="AM19" s="679" t="b">
        <f t="shared" ref="AM19:AM20" si="33">IF(OR(ISERROR(N19),ISTEXT(18)),FALSE,NOT(OR(N19&lt;0,AND(N19&gt;0,OR(NOT(OR($AX19:$BA19)),NOT(BB19))),IF(OR(ISERROR(SUM($C19,$N19:$Q19,$V19)),ISTEXT($C19),ISTEXT($N19),ISTEXT($O19),ISTEXT($P19),ISTEXT($Q19),ISTEXT($V19)),FALSE,IF(OR($C19&lt;0,$N19&lt;0,$O19&lt;0,$P19&lt;0,$Q19&lt;0,$V19&lt;0),FALSE,N19&gt;$C19-IF(BF19,$V19,0))))))</f>
        <v>1</v>
      </c>
      <c r="AN19" s="679" t="b">
        <f t="shared" ref="AN19:AN20" si="34">IF(OR(ISERROR(O19),ISTEXT(18)),FALSE,NOT(OR(O19&lt;0,AND(O19&gt;0,OR(NOT(OR($AX19:$BA19)),NOT(BC19))),IF(OR(ISERROR(SUM($C19,$N19:$Q19,$V19)),ISTEXT($C19),ISTEXT($N19),ISTEXT($O19),ISTEXT($P19),ISTEXT($Q19),ISTEXT($V19)),FALSE,IF(OR($C19&lt;0,$N19&lt;0,$O19&lt;0,$P19&lt;0,$Q19&lt;0,$V19&lt;0),FALSE,O19&gt;$C19-IF(BG19,$V19,0))))))</f>
        <v>1</v>
      </c>
      <c r="AO19" s="679" t="b">
        <f t="shared" ref="AO19:AO20" si="35">IF(OR(ISERROR(P19),ISTEXT(18)),FALSE,NOT(OR(P19&lt;0,AND(P19&gt;0,OR(NOT(OR($AX19:$BA19)),NOT(BD19))),IF(OR(ISERROR(SUM($C19,$N19:$Q19,$V19)),ISTEXT($C19),ISTEXT($N19),ISTEXT($O19),ISTEXT($P19),ISTEXT($Q19),ISTEXT($V19)),FALSE,IF(OR($C19&lt;0,$N19&lt;0,$O19&lt;0,$P19&lt;0,$Q19&lt;0,$V19&lt;0),FALSE,P19&gt;$C19-IF(BH19,$V19,0))))))</f>
        <v>1</v>
      </c>
      <c r="AP19" s="679" t="b">
        <f t="shared" ref="AP19:AP20" si="36">IF(OR(ISERROR(Q19),ISTEXT(18)),FALSE,NOT(OR(Q19&lt;0,AND(Q19&gt;0,OR(NOT(OR($AX19:$BA19)),NOT(BE19))),IF(OR(ISERROR(SUM($C19,$N19:$Q19,$V19)),ISTEXT($C19),ISTEXT($N19),ISTEXT($O19),ISTEXT($P19),ISTEXT($Q19),ISTEXT($V19)),FALSE,IF(OR($C19&lt;0,$N19&lt;0,$O19&lt;0,$P19&lt;0,$Q19&lt;0,$V19&lt;0),FALSE,Q19&gt;$C19-IF(BI19,$V19,0))))))</f>
        <v>1</v>
      </c>
      <c r="AQ19" s="679" t="b">
        <f t="shared" ref="AQ19:AQ20" si="37">IF(ISERROR(SUM($C19,$N19:$Q19,$V19)),TRUE,NOT(OR(AND(NOT(BB19),BF19),AND(SUM($V19)&gt;0,NOT(OR($BF19:$BI19))),$BF19+$BG19+$BH19+$BI19=1,AND(BF19,NOT(OR($AX19:$BA19))))))</f>
        <v>1</v>
      </c>
      <c r="AR19" s="679" t="b">
        <f t="shared" ref="AR19:AR20" si="38">IF(ISERROR(SUM($C19,$N19:$Q19,$V19)),TRUE,NOT(OR(AND(NOT(BC19),BG19),AND(SUM($V19)&gt;0,NOT(OR($BF19:$BI19))),$BF19+$BG19+$BH19+$BI19=1,AND(BG19,NOT(OR($AX19:$BA19))))))</f>
        <v>1</v>
      </c>
      <c r="AS19" s="679" t="b">
        <f t="shared" ref="AS19:AS20" si="39">IF(ISERROR(SUM($C19,$N19:$Q19,$V19)),TRUE,NOT(OR(AND(NOT(BD19),BH19),AND(SUM($V19)&gt;0,NOT(OR($BF19:$BI19))),$BF19+$BG19+$BH19+$BI19=1,AND(BH19,NOT(OR($AX19:$BA19))))))</f>
        <v>1</v>
      </c>
      <c r="AT19" s="679" t="b">
        <f t="shared" ref="AT19:AT20" si="40">IF(ISERROR(SUM($C19,$N19:$Q19,$V19)),TRUE,NOT(OR(AND(NOT(BE19),BI19),AND(SUM($V19)&gt;0,NOT(OR($BF19:$BI19))),$BF19+$BG19+$BH19+$BI19=1,AND(BI19,NOT(OR($AX19:$BA19))))))</f>
        <v>1</v>
      </c>
      <c r="AU19" s="679" t="b">
        <f t="shared" ref="AU19:AU20" si="41">IF(OR(ISERROR(V19),ISTEXT(V19)),FALSE,NOT(OR(V19&lt;0,AND(V19=0,OR(BF19:BI19)),AND(V19&gt;0,OR(NOT(OR(AX19:BA19)),NOT(OR(BF19:BI19)),AND(NOT(BB19),BF19),AND(NOT(BC19),BG19),AND(NOT(BD19),BH19),AND(NOT(BE19),BI19))),IF(OR(ISERROR(SUM(C19,N19:Q19)),ISTEXT(C19),ISTEXT(N19),ISTEXT(O19),ISTEXT(P19),ISTEXT(Q19)),FALSE,IF(OR(C19&lt;0,N19&lt;0,O19&lt;0,P19&lt;0,Q19&lt;0),FALSE,OR(AND(V19&gt;0,BF19,V19&gt;C19-N19),AND(V19&gt;0,BG19,V19&gt;C19-O19),AND(V19&gt;0,BH19,V19&gt;C19-P19),AND(V19&gt;0,BI19,V19&gt;C19-Q19)))))))</f>
        <v>1</v>
      </c>
      <c r="AX19" s="597" t="b">
        <v>0</v>
      </c>
      <c r="AY19" s="597" t="b">
        <v>0</v>
      </c>
      <c r="AZ19" s="597" t="b">
        <v>0</v>
      </c>
      <c r="BA19" s="597" t="b">
        <v>0</v>
      </c>
      <c r="BB19" s="597" t="b">
        <v>0</v>
      </c>
      <c r="BC19" s="597" t="b">
        <v>0</v>
      </c>
      <c r="BD19" s="597" t="b">
        <v>0</v>
      </c>
      <c r="BE19" s="597" t="b">
        <v>0</v>
      </c>
      <c r="BF19" s="597" t="b">
        <v>0</v>
      </c>
      <c r="BG19" s="597" t="b">
        <v>0</v>
      </c>
      <c r="BH19" s="597" t="b">
        <v>0</v>
      </c>
      <c r="BI19" s="597" t="b">
        <v>0</v>
      </c>
    </row>
    <row r="20" spans="1:61" ht="13.5" thickBot="1" x14ac:dyDescent="0.25">
      <c r="B20" s="686"/>
      <c r="C20" s="265"/>
      <c r="D20" s="266"/>
      <c r="E20" s="266"/>
      <c r="F20" s="79"/>
      <c r="G20" s="79"/>
      <c r="H20" s="79"/>
      <c r="I20" s="267"/>
      <c r="J20" s="79"/>
      <c r="K20" s="79"/>
      <c r="L20" s="79"/>
      <c r="M20" s="79"/>
      <c r="N20" s="268"/>
      <c r="O20" s="269"/>
      <c r="P20" s="269"/>
      <c r="Q20" s="265"/>
      <c r="R20" s="79"/>
      <c r="S20" s="79"/>
      <c r="T20" s="79"/>
      <c r="U20" s="79"/>
      <c r="V20" s="270"/>
      <c r="AB20" s="679" t="b">
        <f t="shared" si="26"/>
        <v>1</v>
      </c>
      <c r="AE20" s="596" t="b">
        <f t="shared" si="27"/>
        <v>1</v>
      </c>
      <c r="AF20" s="596" t="b">
        <f t="shared" si="28"/>
        <v>1</v>
      </c>
      <c r="AG20" s="596" t="b">
        <f t="shared" si="20"/>
        <v>1</v>
      </c>
      <c r="AH20" s="596" t="b">
        <f t="shared" si="20"/>
        <v>1</v>
      </c>
      <c r="AI20" s="596" t="b">
        <f t="shared" si="29"/>
        <v>1</v>
      </c>
      <c r="AJ20" s="596" t="b">
        <f t="shared" si="30"/>
        <v>1</v>
      </c>
      <c r="AK20" s="596" t="b">
        <f t="shared" si="31"/>
        <v>1</v>
      </c>
      <c r="AL20" s="596" t="b">
        <f t="shared" si="32"/>
        <v>1</v>
      </c>
      <c r="AM20" s="679" t="b">
        <f t="shared" si="33"/>
        <v>1</v>
      </c>
      <c r="AN20" s="679" t="b">
        <f t="shared" si="34"/>
        <v>1</v>
      </c>
      <c r="AO20" s="679" t="b">
        <f t="shared" si="35"/>
        <v>1</v>
      </c>
      <c r="AP20" s="679" t="b">
        <f t="shared" si="36"/>
        <v>1</v>
      </c>
      <c r="AQ20" s="679" t="b">
        <f t="shared" si="37"/>
        <v>1</v>
      </c>
      <c r="AR20" s="679" t="b">
        <f t="shared" si="38"/>
        <v>1</v>
      </c>
      <c r="AS20" s="679" t="b">
        <f t="shared" si="39"/>
        <v>1</v>
      </c>
      <c r="AT20" s="679" t="b">
        <f t="shared" si="40"/>
        <v>1</v>
      </c>
      <c r="AU20" s="679" t="b">
        <f t="shared" si="41"/>
        <v>1</v>
      </c>
      <c r="AX20" s="597" t="b">
        <v>0</v>
      </c>
      <c r="AY20" s="597" t="b">
        <v>0</v>
      </c>
      <c r="AZ20" s="597" t="b">
        <v>0</v>
      </c>
      <c r="BA20" s="597" t="b">
        <v>0</v>
      </c>
      <c r="BB20" s="597" t="b">
        <v>0</v>
      </c>
      <c r="BC20" s="597" t="b">
        <v>0</v>
      </c>
      <c r="BD20" s="597" t="b">
        <v>0</v>
      </c>
      <c r="BE20" s="597" t="b">
        <v>0</v>
      </c>
      <c r="BF20" s="597" t="b">
        <v>0</v>
      </c>
      <c r="BG20" s="597" t="b">
        <v>0</v>
      </c>
      <c r="BH20" s="597" t="b">
        <v>0</v>
      </c>
      <c r="BI20" s="597" t="b">
        <v>0</v>
      </c>
    </row>
    <row r="21" spans="1:61" ht="13.5" thickBot="1" x14ac:dyDescent="0.25"/>
    <row r="22" spans="1:61" ht="13.5" thickBot="1" x14ac:dyDescent="0.25">
      <c r="A22" s="281" t="s">
        <v>28</v>
      </c>
      <c r="B22" s="85" t="s">
        <v>460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7"/>
    </row>
    <row r="23" spans="1:61" ht="12.75" customHeight="1" x14ac:dyDescent="0.2">
      <c r="B23" s="92" t="s">
        <v>9</v>
      </c>
      <c r="C23" s="90"/>
      <c r="D23" s="90"/>
      <c r="E23" s="271" t="s">
        <v>39</v>
      </c>
      <c r="F23" s="271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589"/>
    </row>
    <row r="24" spans="1:61" ht="12.75" customHeight="1" x14ac:dyDescent="0.2">
      <c r="B24" s="100"/>
      <c r="C24" s="90"/>
      <c r="D24" s="90"/>
      <c r="E24" s="792" t="str">
        <f>IF(AB59,HF_KQR!AH96,"")</f>
        <v/>
      </c>
      <c r="F24" s="793"/>
      <c r="G24" s="793"/>
      <c r="H24" s="793"/>
      <c r="I24" s="793"/>
      <c r="J24" s="793"/>
      <c r="K24" s="793"/>
      <c r="L24" s="793"/>
      <c r="M24" s="793"/>
      <c r="N24" s="793"/>
      <c r="O24" s="793"/>
      <c r="P24" s="793"/>
      <c r="Q24" s="793"/>
      <c r="R24" s="793"/>
      <c r="S24" s="793"/>
      <c r="T24" s="793"/>
      <c r="U24" s="793"/>
      <c r="V24" s="794"/>
    </row>
    <row r="25" spans="1:61" x14ac:dyDescent="0.2">
      <c r="B25" s="100"/>
      <c r="C25" s="90"/>
      <c r="D25" s="90"/>
      <c r="E25" s="793"/>
      <c r="F25" s="793"/>
      <c r="G25" s="793"/>
      <c r="H25" s="793"/>
      <c r="I25" s="793"/>
      <c r="J25" s="793"/>
      <c r="K25" s="793"/>
      <c r="L25" s="793"/>
      <c r="M25" s="793"/>
      <c r="N25" s="793"/>
      <c r="O25" s="793"/>
      <c r="P25" s="793"/>
      <c r="Q25" s="793"/>
      <c r="R25" s="793"/>
      <c r="S25" s="793"/>
      <c r="T25" s="793"/>
      <c r="U25" s="793"/>
      <c r="V25" s="794"/>
    </row>
    <row r="26" spans="1:61" x14ac:dyDescent="0.2">
      <c r="B26" s="100"/>
      <c r="C26" s="90"/>
      <c r="D26" s="90"/>
      <c r="E26" s="793"/>
      <c r="F26" s="793"/>
      <c r="G26" s="793"/>
      <c r="H26" s="793"/>
      <c r="I26" s="793"/>
      <c r="J26" s="793"/>
      <c r="K26" s="793"/>
      <c r="L26" s="793"/>
      <c r="M26" s="793"/>
      <c r="N26" s="793"/>
      <c r="O26" s="793"/>
      <c r="P26" s="793"/>
      <c r="Q26" s="793"/>
      <c r="R26" s="793"/>
      <c r="S26" s="793"/>
      <c r="T26" s="793"/>
      <c r="U26" s="793"/>
      <c r="V26" s="794"/>
    </row>
    <row r="27" spans="1:61" x14ac:dyDescent="0.2">
      <c r="B27" s="92" t="s">
        <v>474</v>
      </c>
      <c r="C27" s="90"/>
      <c r="D27" s="90"/>
      <c r="E27" s="271" t="s">
        <v>39</v>
      </c>
      <c r="F27" s="271"/>
      <c r="G27" s="90"/>
      <c r="H27" s="90"/>
      <c r="I27" s="90"/>
      <c r="J27" s="90"/>
      <c r="K27" s="90"/>
      <c r="L27" s="90"/>
      <c r="M27" s="90"/>
      <c r="N27" s="272"/>
      <c r="O27" s="272"/>
      <c r="P27" s="272"/>
      <c r="Q27" s="272"/>
      <c r="R27" s="272"/>
      <c r="S27" s="272"/>
      <c r="T27" s="272"/>
      <c r="U27" s="272"/>
      <c r="V27" s="589"/>
    </row>
    <row r="28" spans="1:61" ht="12.75" customHeight="1" x14ac:dyDescent="0.2">
      <c r="B28" s="88" t="s">
        <v>43</v>
      </c>
      <c r="C28" s="90"/>
      <c r="D28" s="90"/>
      <c r="E28" s="792" t="str">
        <f>IF(AB59,HF_KQR!AH101,"")</f>
        <v/>
      </c>
      <c r="F28" s="793"/>
      <c r="G28" s="793"/>
      <c r="H28" s="793"/>
      <c r="I28" s="793"/>
      <c r="J28" s="793"/>
      <c r="K28" s="793"/>
      <c r="L28" s="793"/>
      <c r="M28" s="793"/>
      <c r="N28" s="793"/>
      <c r="O28" s="793"/>
      <c r="P28" s="793"/>
      <c r="Q28" s="793"/>
      <c r="R28" s="793"/>
      <c r="S28" s="793"/>
      <c r="T28" s="793"/>
      <c r="U28" s="793"/>
      <c r="V28" s="794"/>
    </row>
    <row r="29" spans="1:61" x14ac:dyDescent="0.2">
      <c r="B29" s="88"/>
      <c r="C29" s="90"/>
      <c r="D29" s="90"/>
      <c r="E29" s="793"/>
      <c r="F29" s="793"/>
      <c r="G29" s="793"/>
      <c r="H29" s="793"/>
      <c r="I29" s="793"/>
      <c r="J29" s="793"/>
      <c r="K29" s="793"/>
      <c r="L29" s="793"/>
      <c r="M29" s="793"/>
      <c r="N29" s="793"/>
      <c r="O29" s="793"/>
      <c r="P29" s="793"/>
      <c r="Q29" s="793"/>
      <c r="R29" s="793"/>
      <c r="S29" s="793"/>
      <c r="T29" s="793"/>
      <c r="U29" s="793"/>
      <c r="V29" s="794"/>
    </row>
    <row r="30" spans="1:61" ht="12.75" customHeight="1" x14ac:dyDescent="0.2">
      <c r="B30" s="88" t="s">
        <v>44</v>
      </c>
      <c r="C30" s="90"/>
      <c r="D30" s="90"/>
      <c r="E30" s="792" t="str">
        <f>IF(AB59,HF_KQR!AH106,"")</f>
        <v/>
      </c>
      <c r="F30" s="793"/>
      <c r="G30" s="793"/>
      <c r="H30" s="793"/>
      <c r="I30" s="793"/>
      <c r="J30" s="793"/>
      <c r="K30" s="793"/>
      <c r="L30" s="793"/>
      <c r="M30" s="793"/>
      <c r="N30" s="793"/>
      <c r="O30" s="793"/>
      <c r="P30" s="793"/>
      <c r="Q30" s="793"/>
      <c r="R30" s="793"/>
      <c r="S30" s="793"/>
      <c r="T30" s="793"/>
      <c r="U30" s="793"/>
      <c r="V30" s="794"/>
    </row>
    <row r="31" spans="1:61" x14ac:dyDescent="0.2">
      <c r="B31" s="88"/>
      <c r="C31" s="90"/>
      <c r="D31" s="90"/>
      <c r="E31" s="793"/>
      <c r="F31" s="793"/>
      <c r="G31" s="793"/>
      <c r="H31" s="793"/>
      <c r="I31" s="793"/>
      <c r="J31" s="793"/>
      <c r="K31" s="793"/>
      <c r="L31" s="793"/>
      <c r="M31" s="793"/>
      <c r="N31" s="793"/>
      <c r="O31" s="793"/>
      <c r="P31" s="793"/>
      <c r="Q31" s="793"/>
      <c r="R31" s="793"/>
      <c r="S31" s="793"/>
      <c r="T31" s="793"/>
      <c r="U31" s="793"/>
      <c r="V31" s="794"/>
    </row>
    <row r="32" spans="1:61" ht="12.75" customHeight="1" x14ac:dyDescent="0.2">
      <c r="B32" s="88" t="s">
        <v>45</v>
      </c>
      <c r="C32" s="90"/>
      <c r="D32" s="90"/>
      <c r="E32" s="792" t="str">
        <f>IF(AB59,HF_KQR!AH111,"")</f>
        <v/>
      </c>
      <c r="F32" s="793"/>
      <c r="G32" s="793"/>
      <c r="H32" s="793"/>
      <c r="I32" s="793"/>
      <c r="J32" s="793"/>
      <c r="K32" s="793"/>
      <c r="L32" s="793"/>
      <c r="M32" s="793"/>
      <c r="N32" s="793"/>
      <c r="O32" s="793"/>
      <c r="P32" s="793"/>
      <c r="Q32" s="793"/>
      <c r="R32" s="793"/>
      <c r="S32" s="793"/>
      <c r="T32" s="793"/>
      <c r="U32" s="793"/>
      <c r="V32" s="794"/>
    </row>
    <row r="33" spans="1:26" x14ac:dyDescent="0.2">
      <c r="B33" s="88"/>
      <c r="C33" s="90"/>
      <c r="D33" s="90"/>
      <c r="E33" s="793"/>
      <c r="F33" s="793"/>
      <c r="G33" s="793"/>
      <c r="H33" s="793"/>
      <c r="I33" s="793"/>
      <c r="J33" s="793"/>
      <c r="K33" s="793"/>
      <c r="L33" s="793"/>
      <c r="M33" s="793"/>
      <c r="N33" s="793"/>
      <c r="O33" s="793"/>
      <c r="P33" s="793"/>
      <c r="Q33" s="793"/>
      <c r="R33" s="793"/>
      <c r="S33" s="793"/>
      <c r="T33" s="793"/>
      <c r="U33" s="793"/>
      <c r="V33" s="794"/>
    </row>
    <row r="34" spans="1:26" ht="12.75" customHeight="1" x14ac:dyDescent="0.2">
      <c r="B34" s="88" t="s">
        <v>46</v>
      </c>
      <c r="C34" s="90"/>
      <c r="D34" s="90"/>
      <c r="E34" s="792" t="str">
        <f>IF(AB59,HF_KQR!AH116,"")</f>
        <v/>
      </c>
      <c r="F34" s="793"/>
      <c r="G34" s="793"/>
      <c r="H34" s="793"/>
      <c r="I34" s="793"/>
      <c r="J34" s="793"/>
      <c r="K34" s="793"/>
      <c r="L34" s="793"/>
      <c r="M34" s="793"/>
      <c r="N34" s="793"/>
      <c r="O34" s="793"/>
      <c r="P34" s="793"/>
      <c r="Q34" s="793"/>
      <c r="R34" s="793"/>
      <c r="S34" s="793"/>
      <c r="T34" s="793"/>
      <c r="U34" s="793"/>
      <c r="V34" s="794"/>
    </row>
    <row r="35" spans="1:26" x14ac:dyDescent="0.2">
      <c r="B35" s="88"/>
      <c r="C35" s="90"/>
      <c r="D35" s="90"/>
      <c r="E35" s="793"/>
      <c r="F35" s="793"/>
      <c r="G35" s="793"/>
      <c r="H35" s="793"/>
      <c r="I35" s="793"/>
      <c r="J35" s="793"/>
      <c r="K35" s="793"/>
      <c r="L35" s="793"/>
      <c r="M35" s="793"/>
      <c r="N35" s="793"/>
      <c r="O35" s="793"/>
      <c r="P35" s="793"/>
      <c r="Q35" s="793"/>
      <c r="R35" s="793"/>
      <c r="S35" s="793"/>
      <c r="T35" s="793"/>
      <c r="U35" s="793"/>
      <c r="V35" s="794"/>
    </row>
    <row r="36" spans="1:26" ht="12.75" customHeight="1" x14ac:dyDescent="0.2">
      <c r="B36" s="100" t="s">
        <v>47</v>
      </c>
      <c r="C36" s="90"/>
      <c r="D36" s="90"/>
      <c r="E36" s="792" t="str">
        <f>IF(AB59,HF_KQR!AH121,"")</f>
        <v/>
      </c>
      <c r="F36" s="793"/>
      <c r="G36" s="793"/>
      <c r="H36" s="793"/>
      <c r="I36" s="793"/>
      <c r="J36" s="793"/>
      <c r="K36" s="793"/>
      <c r="L36" s="793"/>
      <c r="M36" s="793"/>
      <c r="N36" s="793"/>
      <c r="O36" s="793"/>
      <c r="P36" s="793"/>
      <c r="Q36" s="793"/>
      <c r="R36" s="793"/>
      <c r="S36" s="793"/>
      <c r="T36" s="793"/>
      <c r="U36" s="793"/>
      <c r="V36" s="794"/>
    </row>
    <row r="37" spans="1:26" x14ac:dyDescent="0.2">
      <c r="B37" s="100"/>
      <c r="C37" s="90"/>
      <c r="D37" s="90"/>
      <c r="E37" s="793"/>
      <c r="F37" s="793"/>
      <c r="G37" s="793"/>
      <c r="H37" s="793"/>
      <c r="I37" s="793"/>
      <c r="J37" s="793"/>
      <c r="K37" s="793"/>
      <c r="L37" s="793"/>
      <c r="M37" s="793"/>
      <c r="N37" s="793"/>
      <c r="O37" s="793"/>
      <c r="P37" s="793"/>
      <c r="Q37" s="793"/>
      <c r="R37" s="793"/>
      <c r="S37" s="793"/>
      <c r="T37" s="793"/>
      <c r="U37" s="793"/>
      <c r="V37" s="794"/>
    </row>
    <row r="38" spans="1:26" ht="12.75" customHeight="1" x14ac:dyDescent="0.2">
      <c r="B38" s="100" t="s">
        <v>48</v>
      </c>
      <c r="C38" s="90"/>
      <c r="D38" s="90"/>
      <c r="E38" s="792" t="str">
        <f>IF(AB59,HF_KQR!AH126,"")</f>
        <v/>
      </c>
      <c r="F38" s="793"/>
      <c r="G38" s="793"/>
      <c r="H38" s="793"/>
      <c r="I38" s="793"/>
      <c r="J38" s="793"/>
      <c r="K38" s="793"/>
      <c r="L38" s="793"/>
      <c r="M38" s="793"/>
      <c r="N38" s="793"/>
      <c r="O38" s="793"/>
      <c r="P38" s="793"/>
      <c r="Q38" s="793"/>
      <c r="R38" s="793"/>
      <c r="S38" s="793"/>
      <c r="T38" s="793"/>
      <c r="U38" s="793"/>
      <c r="V38" s="794"/>
    </row>
    <row r="39" spans="1:26" x14ac:dyDescent="0.2">
      <c r="B39" s="100"/>
      <c r="C39" s="90"/>
      <c r="D39" s="90"/>
      <c r="E39" s="793"/>
      <c r="F39" s="793"/>
      <c r="G39" s="793"/>
      <c r="H39" s="793"/>
      <c r="I39" s="793"/>
      <c r="J39" s="793"/>
      <c r="K39" s="793"/>
      <c r="L39" s="793"/>
      <c r="M39" s="793"/>
      <c r="N39" s="793"/>
      <c r="O39" s="793"/>
      <c r="P39" s="793"/>
      <c r="Q39" s="793"/>
      <c r="R39" s="793"/>
      <c r="S39" s="793"/>
      <c r="T39" s="793"/>
      <c r="U39" s="793"/>
      <c r="V39" s="794"/>
    </row>
    <row r="40" spans="1:26" ht="12.75" customHeight="1" x14ac:dyDescent="0.2">
      <c r="B40" s="100" t="s">
        <v>49</v>
      </c>
      <c r="C40" s="90"/>
      <c r="D40" s="90"/>
      <c r="E40" s="792" t="str">
        <f>IF(AB59,HF_KQR!AH131,"")</f>
        <v/>
      </c>
      <c r="F40" s="793"/>
      <c r="G40" s="793"/>
      <c r="H40" s="793"/>
      <c r="I40" s="793"/>
      <c r="J40" s="793"/>
      <c r="K40" s="793"/>
      <c r="L40" s="793"/>
      <c r="M40" s="793"/>
      <c r="N40" s="793"/>
      <c r="O40" s="793"/>
      <c r="P40" s="793"/>
      <c r="Q40" s="793"/>
      <c r="R40" s="793"/>
      <c r="S40" s="793"/>
      <c r="T40" s="793"/>
      <c r="U40" s="793"/>
      <c r="V40" s="794"/>
    </row>
    <row r="41" spans="1:26" x14ac:dyDescent="0.2">
      <c r="B41" s="100"/>
      <c r="C41" s="90"/>
      <c r="D41" s="90"/>
      <c r="E41" s="793"/>
      <c r="F41" s="793"/>
      <c r="G41" s="793"/>
      <c r="H41" s="793"/>
      <c r="I41" s="793"/>
      <c r="J41" s="793"/>
      <c r="K41" s="793"/>
      <c r="L41" s="793"/>
      <c r="M41" s="793"/>
      <c r="N41" s="793"/>
      <c r="O41" s="793"/>
      <c r="P41" s="793"/>
      <c r="Q41" s="793"/>
      <c r="R41" s="793"/>
      <c r="S41" s="793"/>
      <c r="T41" s="793"/>
      <c r="U41" s="793"/>
      <c r="V41" s="794"/>
    </row>
    <row r="42" spans="1:26" ht="12.75" customHeight="1" x14ac:dyDescent="0.2">
      <c r="B42" s="100" t="s">
        <v>50</v>
      </c>
      <c r="C42" s="90"/>
      <c r="D42" s="90"/>
      <c r="E42" s="792" t="str">
        <f>IF(AB59,HF_KQR!AH136,"")</f>
        <v/>
      </c>
      <c r="F42" s="793"/>
      <c r="G42" s="793"/>
      <c r="H42" s="793"/>
      <c r="I42" s="793"/>
      <c r="J42" s="793"/>
      <c r="K42" s="793"/>
      <c r="L42" s="793"/>
      <c r="M42" s="793"/>
      <c r="N42" s="793"/>
      <c r="O42" s="793"/>
      <c r="P42" s="793"/>
      <c r="Q42" s="793"/>
      <c r="R42" s="793"/>
      <c r="S42" s="793"/>
      <c r="T42" s="793"/>
      <c r="U42" s="793"/>
      <c r="V42" s="794"/>
    </row>
    <row r="43" spans="1:26" ht="13.5" thickBot="1" x14ac:dyDescent="0.25">
      <c r="B43" s="273"/>
      <c r="C43" s="104"/>
      <c r="D43" s="104"/>
      <c r="E43" s="795"/>
      <c r="F43" s="795"/>
      <c r="G43" s="795"/>
      <c r="H43" s="795"/>
      <c r="I43" s="795"/>
      <c r="J43" s="795"/>
      <c r="K43" s="795"/>
      <c r="L43" s="795"/>
      <c r="M43" s="795"/>
      <c r="N43" s="795"/>
      <c r="O43" s="795"/>
      <c r="P43" s="795"/>
      <c r="Q43" s="795"/>
      <c r="R43" s="795"/>
      <c r="S43" s="795"/>
      <c r="T43" s="795"/>
      <c r="U43" s="795"/>
      <c r="V43" s="796"/>
    </row>
    <row r="44" spans="1:26" ht="13.5" thickBot="1" x14ac:dyDescent="0.25"/>
    <row r="45" spans="1:26" ht="13.5" thickBot="1" x14ac:dyDescent="0.25">
      <c r="A45" s="674" t="s">
        <v>29</v>
      </c>
      <c r="B45" s="663" t="s">
        <v>567</v>
      </c>
      <c r="C45" s="620"/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64"/>
    </row>
    <row r="46" spans="1:26" x14ac:dyDescent="0.2">
      <c r="B46" s="665"/>
      <c r="C46" s="666"/>
      <c r="D46" s="666"/>
      <c r="E46" s="666"/>
      <c r="F46" s="628"/>
      <c r="G46" s="628"/>
      <c r="H46" s="628"/>
      <c r="I46" s="628"/>
      <c r="J46" s="667" t="s">
        <v>458</v>
      </c>
      <c r="K46" s="628"/>
      <c r="L46" s="628"/>
      <c r="M46" s="628"/>
      <c r="N46" s="628"/>
      <c r="O46" s="628"/>
      <c r="P46" s="628"/>
      <c r="Q46" s="628"/>
      <c r="R46" s="628"/>
      <c r="S46" s="628"/>
      <c r="T46" s="628"/>
      <c r="U46" s="628"/>
      <c r="V46" s="628"/>
      <c r="W46" s="628"/>
      <c r="X46" s="628"/>
      <c r="Y46" s="628"/>
      <c r="Z46" s="668"/>
    </row>
    <row r="47" spans="1:26" x14ac:dyDescent="0.2">
      <c r="B47" s="669"/>
      <c r="C47" s="628"/>
      <c r="D47" s="628"/>
      <c r="E47" s="667" t="s">
        <v>440</v>
      </c>
      <c r="F47" s="628"/>
      <c r="G47" s="628"/>
      <c r="H47" s="628"/>
      <c r="I47" s="628"/>
      <c r="J47" s="628" t="s">
        <v>40</v>
      </c>
      <c r="K47" s="628"/>
      <c r="L47" s="628"/>
      <c r="M47" s="628"/>
      <c r="N47" s="628" t="s">
        <v>41</v>
      </c>
      <c r="O47" s="628" t="s">
        <v>69</v>
      </c>
      <c r="P47" s="628" t="s">
        <v>70</v>
      </c>
      <c r="Q47" s="628" t="s">
        <v>475</v>
      </c>
      <c r="R47" s="628" t="s">
        <v>476</v>
      </c>
      <c r="S47" s="628"/>
      <c r="T47" s="628"/>
      <c r="U47" s="628"/>
      <c r="V47" s="628" t="s">
        <v>477</v>
      </c>
      <c r="W47" s="628" t="s">
        <v>478</v>
      </c>
      <c r="X47" s="628" t="s">
        <v>563</v>
      </c>
      <c r="Y47" s="628"/>
      <c r="Z47" s="668"/>
    </row>
    <row r="48" spans="1:26" x14ac:dyDescent="0.2">
      <c r="B48" s="670" t="s">
        <v>40</v>
      </c>
      <c r="C48" s="629"/>
      <c r="D48" s="629"/>
      <c r="E48" s="791">
        <f>HF_KQR!C99</f>
        <v>0</v>
      </c>
      <c r="F48" s="791"/>
      <c r="G48" s="791"/>
      <c r="H48" s="791"/>
      <c r="I48" s="791"/>
      <c r="J48" s="791">
        <f>HF_KQR!D99</f>
        <v>0</v>
      </c>
      <c r="K48" s="791"/>
      <c r="L48" s="791"/>
      <c r="M48" s="791"/>
      <c r="N48" s="629"/>
      <c r="O48" s="629"/>
      <c r="P48" s="629"/>
      <c r="Q48" s="629">
        <f>HF_KQR!S99</f>
        <v>0</v>
      </c>
      <c r="R48" s="791">
        <f>HF_KQR!T99</f>
        <v>0</v>
      </c>
      <c r="S48" s="791"/>
      <c r="T48" s="791"/>
      <c r="U48" s="791"/>
      <c r="V48" s="629">
        <f>HF_KQR!U99</f>
        <v>0</v>
      </c>
      <c r="W48" s="629">
        <f>HF_KQR!V99</f>
        <v>0</v>
      </c>
      <c r="X48" s="629">
        <f>SUM(HF_KQR!W99:AG99)</f>
        <v>0</v>
      </c>
      <c r="Y48" s="629"/>
      <c r="Z48" s="671"/>
    </row>
    <row r="49" spans="1:61" x14ac:dyDescent="0.2">
      <c r="B49" s="670" t="s">
        <v>41</v>
      </c>
      <c r="C49" s="629"/>
      <c r="D49" s="629"/>
      <c r="E49" s="791">
        <f>HF_KQR!C104</f>
        <v>0</v>
      </c>
      <c r="F49" s="791"/>
      <c r="G49" s="791"/>
      <c r="H49" s="791"/>
      <c r="I49" s="791"/>
      <c r="J49" s="791"/>
      <c r="K49" s="791"/>
      <c r="L49" s="791"/>
      <c r="M49" s="791"/>
      <c r="N49" s="629">
        <f>HF_KQR!E104</f>
        <v>0</v>
      </c>
      <c r="O49" s="629"/>
      <c r="P49" s="629"/>
      <c r="Q49" s="629">
        <f>HF_KQR!S104</f>
        <v>0</v>
      </c>
      <c r="R49" s="791">
        <f>HF_KQR!T104</f>
        <v>0</v>
      </c>
      <c r="S49" s="791"/>
      <c r="T49" s="791"/>
      <c r="U49" s="791"/>
      <c r="V49" s="629">
        <f>HF_KQR!U104</f>
        <v>0</v>
      </c>
      <c r="W49" s="629">
        <f>HF_KQR!V104</f>
        <v>0</v>
      </c>
      <c r="X49" s="629">
        <f>SUM(HF_KQR!W104:AG104)</f>
        <v>0</v>
      </c>
      <c r="Y49" s="629"/>
      <c r="Z49" s="671"/>
    </row>
    <row r="50" spans="1:61" x14ac:dyDescent="0.2">
      <c r="B50" s="670" t="s">
        <v>42</v>
      </c>
      <c r="C50" s="629"/>
      <c r="D50" s="629"/>
      <c r="E50" s="791">
        <f>HF_KQR!C109</f>
        <v>0</v>
      </c>
      <c r="F50" s="791"/>
      <c r="G50" s="791"/>
      <c r="H50" s="791"/>
      <c r="I50" s="791"/>
      <c r="J50" s="791"/>
      <c r="K50" s="791"/>
      <c r="L50" s="791"/>
      <c r="M50" s="791"/>
      <c r="N50" s="629"/>
      <c r="O50" s="629">
        <f>HF_KQR!F109</f>
        <v>0</v>
      </c>
      <c r="P50" s="629"/>
      <c r="Q50" s="629">
        <f>HF_KQR!S109</f>
        <v>0</v>
      </c>
      <c r="R50" s="791">
        <f>HF_KQR!T109</f>
        <v>0</v>
      </c>
      <c r="S50" s="791"/>
      <c r="T50" s="791"/>
      <c r="U50" s="791"/>
      <c r="V50" s="629">
        <f>HF_KQR!U109</f>
        <v>0</v>
      </c>
      <c r="W50" s="629">
        <f>HF_KQR!V109</f>
        <v>0</v>
      </c>
      <c r="X50" s="629"/>
      <c r="Y50" s="629"/>
      <c r="Z50" s="671"/>
    </row>
    <row r="51" spans="1:61" x14ac:dyDescent="0.2">
      <c r="B51" s="670" t="s">
        <v>42</v>
      </c>
      <c r="C51" s="629"/>
      <c r="D51" s="629"/>
      <c r="E51" s="791">
        <f>HF_KQR!C114</f>
        <v>0</v>
      </c>
      <c r="F51" s="791"/>
      <c r="G51" s="791"/>
      <c r="H51" s="791"/>
      <c r="I51" s="791"/>
      <c r="J51" s="791"/>
      <c r="K51" s="791"/>
      <c r="L51" s="791"/>
      <c r="M51" s="791"/>
      <c r="N51" s="629"/>
      <c r="O51" s="629"/>
      <c r="P51" s="629">
        <f>HF_KQR!G114</f>
        <v>0</v>
      </c>
      <c r="Q51" s="629">
        <f>HF_KQR!S114</f>
        <v>0</v>
      </c>
      <c r="R51" s="791">
        <f>HF_KQR!T114</f>
        <v>0</v>
      </c>
      <c r="S51" s="791"/>
      <c r="T51" s="791"/>
      <c r="U51" s="791"/>
      <c r="V51" s="629">
        <f>HF_KQR!U114</f>
        <v>0</v>
      </c>
      <c r="W51" s="629">
        <f>HF_KQR!V114</f>
        <v>0</v>
      </c>
      <c r="X51" s="629"/>
      <c r="Y51" s="629"/>
      <c r="Z51" s="671"/>
    </row>
    <row r="52" spans="1:61" x14ac:dyDescent="0.2">
      <c r="B52" s="670"/>
      <c r="C52" s="628"/>
      <c r="D52" s="628"/>
      <c r="E52" s="628"/>
      <c r="F52" s="628"/>
      <c r="G52" s="628"/>
      <c r="H52" s="628"/>
      <c r="I52" s="628"/>
      <c r="J52" s="628" t="s">
        <v>475</v>
      </c>
      <c r="K52" s="628"/>
      <c r="L52" s="628"/>
      <c r="M52" s="628"/>
      <c r="N52" s="628" t="s">
        <v>476</v>
      </c>
      <c r="O52" s="628" t="s">
        <v>477</v>
      </c>
      <c r="P52" s="628" t="s">
        <v>478</v>
      </c>
      <c r="Q52" s="628" t="s">
        <v>40</v>
      </c>
      <c r="R52" s="628" t="s">
        <v>41</v>
      </c>
      <c r="S52" s="628"/>
      <c r="T52" s="628"/>
      <c r="U52" s="628"/>
      <c r="V52" s="628" t="s">
        <v>69</v>
      </c>
      <c r="W52" s="628" t="s">
        <v>70</v>
      </c>
      <c r="X52" s="628" t="s">
        <v>564</v>
      </c>
      <c r="Y52" s="628" t="s">
        <v>565</v>
      </c>
      <c r="Z52" s="668" t="s">
        <v>566</v>
      </c>
    </row>
    <row r="53" spans="1:61" x14ac:dyDescent="0.2">
      <c r="B53" s="670" t="s">
        <v>51</v>
      </c>
      <c r="C53" s="629"/>
      <c r="D53" s="629"/>
      <c r="E53" s="791">
        <f>HF_KQR!C119</f>
        <v>0</v>
      </c>
      <c r="F53" s="791"/>
      <c r="G53" s="791"/>
      <c r="H53" s="791"/>
      <c r="I53" s="791"/>
      <c r="J53" s="791">
        <f>HF_KQR!S119</f>
        <v>0</v>
      </c>
      <c r="K53" s="791"/>
      <c r="L53" s="791"/>
      <c r="M53" s="791"/>
      <c r="N53" s="629"/>
      <c r="O53" s="629"/>
      <c r="P53" s="629"/>
      <c r="Q53" s="629">
        <f>HF_KQR!D119</f>
        <v>0</v>
      </c>
      <c r="R53" s="791">
        <f>HF_KQR!E119</f>
        <v>0</v>
      </c>
      <c r="S53" s="791"/>
      <c r="T53" s="791"/>
      <c r="U53" s="791"/>
      <c r="V53" s="629">
        <f>HF_KQR!F119</f>
        <v>0</v>
      </c>
      <c r="W53" s="629">
        <f>HF_KQR!G119</f>
        <v>0</v>
      </c>
      <c r="X53" s="629">
        <f>HF_KQR!H119</f>
        <v>0</v>
      </c>
      <c r="Y53" s="629">
        <f>HF_KQR!M119</f>
        <v>0</v>
      </c>
      <c r="Z53" s="671">
        <f>SUM(HF_KQR!I119:'HF_KQR'!L119,HF_KQR!N119:'HF_KQR'!R119)</f>
        <v>0</v>
      </c>
    </row>
    <row r="54" spans="1:61" x14ac:dyDescent="0.2">
      <c r="B54" s="670" t="s">
        <v>52</v>
      </c>
      <c r="C54" s="629"/>
      <c r="D54" s="629"/>
      <c r="E54" s="791">
        <f>HF_KQR!C124</f>
        <v>0</v>
      </c>
      <c r="F54" s="791"/>
      <c r="G54" s="791"/>
      <c r="H54" s="791"/>
      <c r="I54" s="791"/>
      <c r="J54" s="791"/>
      <c r="K54" s="791"/>
      <c r="L54" s="791"/>
      <c r="M54" s="791"/>
      <c r="N54" s="629">
        <f>HF_KQR!T124</f>
        <v>0</v>
      </c>
      <c r="O54" s="629"/>
      <c r="P54" s="629"/>
      <c r="Q54" s="629">
        <f>HF_KQR!D124</f>
        <v>0</v>
      </c>
      <c r="R54" s="791">
        <f>HF_KQR!E124</f>
        <v>0</v>
      </c>
      <c r="S54" s="791"/>
      <c r="T54" s="791"/>
      <c r="U54" s="791"/>
      <c r="V54" s="629">
        <f>HF_KQR!F124</f>
        <v>0</v>
      </c>
      <c r="W54" s="629">
        <f>HF_KQR!G124</f>
        <v>0</v>
      </c>
      <c r="X54" s="629">
        <f>HF_KQR!H124</f>
        <v>0</v>
      </c>
      <c r="Y54" s="629">
        <f>HF_KQR!M124</f>
        <v>0</v>
      </c>
      <c r="Z54" s="671">
        <f>SUM(HF_KQR!I124:'HF_KQR'!L124,HF_KQR!N124:'HF_KQR'!R124)</f>
        <v>0</v>
      </c>
    </row>
    <row r="55" spans="1:61" x14ac:dyDescent="0.2">
      <c r="B55" s="670" t="s">
        <v>53</v>
      </c>
      <c r="C55" s="629"/>
      <c r="D55" s="629"/>
      <c r="E55" s="791">
        <f>HF_KQR!C129</f>
        <v>0</v>
      </c>
      <c r="F55" s="791"/>
      <c r="G55" s="791"/>
      <c r="H55" s="791"/>
      <c r="I55" s="791"/>
      <c r="J55" s="791"/>
      <c r="K55" s="791"/>
      <c r="L55" s="791"/>
      <c r="M55" s="791"/>
      <c r="N55" s="629"/>
      <c r="O55" s="629">
        <f>HF_KQR!U129</f>
        <v>0</v>
      </c>
      <c r="P55" s="629"/>
      <c r="Q55" s="629">
        <f>HF_KQR!D129</f>
        <v>0</v>
      </c>
      <c r="R55" s="791">
        <f>HF_KQR!E129</f>
        <v>0</v>
      </c>
      <c r="S55" s="791"/>
      <c r="T55" s="791"/>
      <c r="U55" s="791"/>
      <c r="V55" s="629">
        <f>HF_KQR!F129</f>
        <v>0</v>
      </c>
      <c r="W55" s="629">
        <f>HF_KQR!G129</f>
        <v>0</v>
      </c>
      <c r="X55" s="629">
        <f>HF_KQR!H129</f>
        <v>0</v>
      </c>
      <c r="Y55" s="629">
        <f>HF_KQR!M129</f>
        <v>0</v>
      </c>
      <c r="Z55" s="671">
        <f>SUM(HF_KQR!I129:'HF_KQR'!L129,HF_KQR!N129:'HF_KQR'!R129)</f>
        <v>0</v>
      </c>
    </row>
    <row r="56" spans="1:61" ht="13.5" thickBot="1" x14ac:dyDescent="0.25">
      <c r="B56" s="639" t="s">
        <v>54</v>
      </c>
      <c r="C56" s="672"/>
      <c r="D56" s="672"/>
      <c r="E56" s="790">
        <f>HF_KQR!C134</f>
        <v>0</v>
      </c>
      <c r="F56" s="790"/>
      <c r="G56" s="790"/>
      <c r="H56" s="790"/>
      <c r="I56" s="790"/>
      <c r="J56" s="790"/>
      <c r="K56" s="790"/>
      <c r="L56" s="790"/>
      <c r="M56" s="790"/>
      <c r="N56" s="672"/>
      <c r="O56" s="672"/>
      <c r="P56" s="672">
        <f>HF_KQR!V134</f>
        <v>0</v>
      </c>
      <c r="Q56" s="672">
        <f>HF_KQR!D134</f>
        <v>0</v>
      </c>
      <c r="R56" s="790">
        <f>HF_KQR!E134</f>
        <v>0</v>
      </c>
      <c r="S56" s="790"/>
      <c r="T56" s="790"/>
      <c r="U56" s="790"/>
      <c r="V56" s="672">
        <f>HF_KQR!F134</f>
        <v>0</v>
      </c>
      <c r="W56" s="672">
        <f>HF_KQR!G134</f>
        <v>0</v>
      </c>
      <c r="X56" s="672">
        <f>HF_KQR!H134</f>
        <v>0</v>
      </c>
      <c r="Y56" s="672">
        <f>HF_KQR!M134</f>
        <v>0</v>
      </c>
      <c r="Z56" s="673">
        <f>SUM(HF_KQR!I134:'HF_KQR'!L134,HF_KQR!N134:'HF_KQR'!R134)</f>
        <v>0</v>
      </c>
    </row>
    <row r="57" spans="1:61" ht="13.5" thickBot="1" x14ac:dyDescent="0.25"/>
    <row r="58" spans="1:61" s="660" customFormat="1" ht="13.5" thickBot="1" x14ac:dyDescent="0.25">
      <c r="A58" s="662" t="s">
        <v>30</v>
      </c>
      <c r="B58" s="615" t="s">
        <v>652</v>
      </c>
      <c r="C58" s="626"/>
      <c r="D58" s="626"/>
      <c r="E58" s="626"/>
      <c r="F58" s="626"/>
      <c r="G58" s="626"/>
      <c r="H58" s="626"/>
      <c r="I58" s="626"/>
      <c r="J58" s="626"/>
      <c r="K58" s="626"/>
      <c r="L58" s="626"/>
      <c r="M58" s="626"/>
      <c r="N58" s="616"/>
      <c r="AB58" s="596"/>
      <c r="AC58" s="596"/>
      <c r="AD58" s="596"/>
      <c r="AE58" s="596"/>
      <c r="AF58" s="596"/>
      <c r="AG58" s="596"/>
      <c r="AH58" s="596"/>
      <c r="AI58" s="596"/>
      <c r="AJ58" s="596"/>
      <c r="AK58" s="596"/>
      <c r="AL58" s="596"/>
      <c r="AM58" s="596"/>
      <c r="AN58" s="596"/>
      <c r="AO58" s="596"/>
      <c r="AP58" s="596"/>
      <c r="AQ58" s="596"/>
      <c r="AR58" s="596"/>
      <c r="AS58" s="596"/>
      <c r="AT58" s="596"/>
      <c r="AU58" s="596"/>
      <c r="AV58" s="596"/>
      <c r="AW58" s="596"/>
      <c r="AX58" s="596"/>
      <c r="AY58" s="596"/>
      <c r="AZ58" s="596"/>
      <c r="BA58" s="596"/>
      <c r="BB58" s="596"/>
      <c r="BC58" s="596"/>
      <c r="BD58" s="596"/>
      <c r="BE58" s="596"/>
      <c r="BF58" s="596"/>
      <c r="BG58" s="596"/>
      <c r="BH58" s="596"/>
      <c r="BI58" s="596"/>
    </row>
    <row r="59" spans="1:61" s="660" customFormat="1" ht="13.5" thickBot="1" x14ac:dyDescent="0.25">
      <c r="A59" s="282"/>
      <c r="B59" s="786" t="str">
        <f>IF(AB59,"Alle Eingaben sind formal fehlerfrei.","Die rot gefärbten Felder enthalten fehlerhafte oder keine Eingaben!")</f>
        <v>Alle Eingaben sind formal fehlerfrei.</v>
      </c>
      <c r="C59" s="788"/>
      <c r="D59" s="788"/>
      <c r="E59" s="788"/>
      <c r="F59" s="788"/>
      <c r="G59" s="788"/>
      <c r="H59" s="788"/>
      <c r="I59" s="788"/>
      <c r="J59" s="788"/>
      <c r="K59" s="788"/>
      <c r="L59" s="788"/>
      <c r="M59" s="788"/>
      <c r="N59" s="789"/>
      <c r="AB59" s="596" t="b">
        <f>AND(AB6:AH15,AM6:AU15,AB18:AB20,AE18:AU20)</f>
        <v>1</v>
      </c>
      <c r="AC59" s="596"/>
      <c r="AD59" s="596"/>
      <c r="AE59" s="596"/>
      <c r="AF59" s="596"/>
      <c r="AG59" s="596"/>
      <c r="AH59" s="596"/>
      <c r="AI59" s="596"/>
      <c r="AJ59" s="596"/>
      <c r="AK59" s="596"/>
      <c r="AL59" s="596"/>
      <c r="AM59" s="596"/>
      <c r="AN59" s="596"/>
      <c r="AO59" s="596"/>
      <c r="AP59" s="596"/>
      <c r="AQ59" s="596"/>
      <c r="AR59" s="596"/>
      <c r="AS59" s="596"/>
      <c r="AT59" s="596"/>
      <c r="AU59" s="596"/>
      <c r="AV59" s="596"/>
      <c r="AW59" s="596"/>
      <c r="AX59" s="596"/>
      <c r="AY59" s="596"/>
      <c r="AZ59" s="596"/>
      <c r="BA59" s="596"/>
      <c r="BB59" s="596"/>
      <c r="BC59" s="596"/>
      <c r="BD59" s="596"/>
      <c r="BE59" s="596"/>
      <c r="BF59" s="596"/>
      <c r="BG59" s="596"/>
      <c r="BH59" s="596"/>
      <c r="BI59" s="596"/>
    </row>
    <row r="60" spans="1:61" s="660" customFormat="1" x14ac:dyDescent="0.2">
      <c r="A60" s="76"/>
      <c r="AB60" s="596"/>
      <c r="AC60" s="596"/>
      <c r="AD60" s="596"/>
      <c r="AE60" s="596"/>
      <c r="AF60" s="596"/>
      <c r="AG60" s="596"/>
      <c r="AH60" s="596"/>
      <c r="AI60" s="596"/>
      <c r="AJ60" s="596"/>
      <c r="AK60" s="596"/>
      <c r="AL60" s="596"/>
      <c r="AM60" s="596"/>
      <c r="AN60" s="596"/>
      <c r="AO60" s="596"/>
      <c r="AP60" s="596"/>
      <c r="AQ60" s="596"/>
      <c r="AR60" s="596"/>
      <c r="AS60" s="596"/>
      <c r="AT60" s="596"/>
      <c r="AU60" s="596"/>
      <c r="AV60" s="596"/>
      <c r="AW60" s="596"/>
      <c r="AX60" s="596"/>
      <c r="AY60" s="596"/>
      <c r="AZ60" s="596"/>
      <c r="BA60" s="596"/>
      <c r="BB60" s="596"/>
      <c r="BC60" s="596"/>
      <c r="BD60" s="596"/>
      <c r="BE60" s="596"/>
      <c r="BF60" s="596"/>
      <c r="BG60" s="596"/>
      <c r="BH60" s="596"/>
      <c r="BI60" s="596"/>
    </row>
    <row r="61" spans="1:61" x14ac:dyDescent="0.2">
      <c r="B61" s="282" t="str">
        <f>Übersicht!A30</f>
        <v>Haftungsausschluss</v>
      </c>
    </row>
    <row r="62" spans="1:61" x14ac:dyDescent="0.2">
      <c r="B62" s="58" t="str">
        <f>Übersicht!A31</f>
        <v>Für die Richtigkeit der rechtlichen Bewertungen und der Berechnungsergebnisse besteht trotz sorgfältiger Bearbeitung und Prüfung keine Gewähr.</v>
      </c>
    </row>
    <row r="64" spans="1:61" x14ac:dyDescent="0.2">
      <c r="B64" s="119" t="s">
        <v>150</v>
      </c>
    </row>
    <row r="65" spans="1:61" x14ac:dyDescent="0.2">
      <c r="A65" s="283" t="s">
        <v>360</v>
      </c>
      <c r="B65" s="121" t="s">
        <v>656</v>
      </c>
    </row>
    <row r="66" spans="1:61" x14ac:dyDescent="0.2">
      <c r="B66" s="588" t="s">
        <v>510</v>
      </c>
    </row>
    <row r="67" spans="1:61" x14ac:dyDescent="0.2">
      <c r="B67" s="588" t="s">
        <v>511</v>
      </c>
    </row>
    <row r="68" spans="1:61" x14ac:dyDescent="0.2">
      <c r="B68" s="245" t="s">
        <v>518</v>
      </c>
    </row>
    <row r="69" spans="1:61" x14ac:dyDescent="0.2">
      <c r="B69" s="245" t="s">
        <v>519</v>
      </c>
    </row>
    <row r="70" spans="1:61" x14ac:dyDescent="0.2">
      <c r="B70" s="588" t="s">
        <v>520</v>
      </c>
    </row>
    <row r="71" spans="1:61" x14ac:dyDescent="0.2">
      <c r="B71" s="245" t="s">
        <v>521</v>
      </c>
    </row>
    <row r="72" spans="1:61" x14ac:dyDescent="0.2">
      <c r="B72" s="245" t="s">
        <v>522</v>
      </c>
    </row>
    <row r="73" spans="1:61" x14ac:dyDescent="0.2">
      <c r="B73" s="588" t="s">
        <v>512</v>
      </c>
    </row>
    <row r="74" spans="1:61" x14ac:dyDescent="0.2">
      <c r="B74" s="51" t="s">
        <v>655</v>
      </c>
    </row>
    <row r="75" spans="1:61" x14ac:dyDescent="0.2">
      <c r="B75" s="121" t="s">
        <v>523</v>
      </c>
    </row>
    <row r="76" spans="1:61" x14ac:dyDescent="0.2">
      <c r="B76" s="588" t="s">
        <v>91</v>
      </c>
    </row>
    <row r="77" spans="1:61" x14ac:dyDescent="0.2">
      <c r="B77" s="588" t="s">
        <v>865</v>
      </c>
    </row>
    <row r="78" spans="1:61" s="782" customFormat="1" x14ac:dyDescent="0.2">
      <c r="A78" s="76"/>
      <c r="B78" s="782" t="s">
        <v>866</v>
      </c>
      <c r="AB78" s="596"/>
      <c r="AC78" s="596"/>
      <c r="AD78" s="596"/>
      <c r="AE78" s="596"/>
      <c r="AF78" s="596"/>
      <c r="AG78" s="596"/>
      <c r="AH78" s="596"/>
      <c r="AI78" s="596"/>
      <c r="AJ78" s="596"/>
      <c r="AK78" s="596"/>
      <c r="AL78" s="596"/>
      <c r="AM78" s="596"/>
      <c r="AN78" s="596"/>
      <c r="AO78" s="596"/>
      <c r="AP78" s="596"/>
      <c r="AQ78" s="596"/>
      <c r="AR78" s="596"/>
      <c r="AS78" s="596"/>
      <c r="AT78" s="596"/>
      <c r="AU78" s="596"/>
      <c r="AV78" s="596"/>
      <c r="AW78" s="596"/>
      <c r="AX78" s="596"/>
      <c r="AY78" s="596"/>
      <c r="AZ78" s="596"/>
      <c r="BA78" s="596"/>
      <c r="BB78" s="596"/>
      <c r="BC78" s="596"/>
      <c r="BD78" s="596"/>
      <c r="BE78" s="596"/>
      <c r="BF78" s="596"/>
      <c r="BG78" s="596"/>
      <c r="BH78" s="596"/>
      <c r="BI78" s="596"/>
    </row>
    <row r="79" spans="1:61" x14ac:dyDescent="0.2">
      <c r="A79" s="283" t="s">
        <v>28</v>
      </c>
      <c r="B79" s="121" t="s">
        <v>524</v>
      </c>
    </row>
    <row r="80" spans="1:61" x14ac:dyDescent="0.2">
      <c r="B80" s="588" t="s">
        <v>525</v>
      </c>
    </row>
    <row r="81" spans="1:2" x14ac:dyDescent="0.2">
      <c r="B81" s="588" t="s">
        <v>526</v>
      </c>
    </row>
    <row r="82" spans="1:2" x14ac:dyDescent="0.2">
      <c r="B82" s="588" t="s">
        <v>527</v>
      </c>
    </row>
    <row r="83" spans="1:2" x14ac:dyDescent="0.2">
      <c r="B83" s="588" t="s">
        <v>862</v>
      </c>
    </row>
    <row r="84" spans="1:2" x14ac:dyDescent="0.2">
      <c r="B84" s="588" t="s">
        <v>860</v>
      </c>
    </row>
    <row r="85" spans="1:2" x14ac:dyDescent="0.2">
      <c r="B85" s="588" t="s">
        <v>861</v>
      </c>
    </row>
    <row r="86" spans="1:2" x14ac:dyDescent="0.2">
      <c r="B86" s="588" t="s">
        <v>528</v>
      </c>
    </row>
    <row r="87" spans="1:2" x14ac:dyDescent="0.2">
      <c r="B87" s="588" t="s">
        <v>529</v>
      </c>
    </row>
    <row r="88" spans="1:2" x14ac:dyDescent="0.2">
      <c r="B88" s="588" t="s">
        <v>530</v>
      </c>
    </row>
    <row r="89" spans="1:2" x14ac:dyDescent="0.2">
      <c r="B89" s="588" t="s">
        <v>531</v>
      </c>
    </row>
    <row r="90" spans="1:2" x14ac:dyDescent="0.2">
      <c r="B90" s="588" t="s">
        <v>532</v>
      </c>
    </row>
    <row r="91" spans="1:2" x14ac:dyDescent="0.2">
      <c r="B91" s="51" t="s">
        <v>743</v>
      </c>
    </row>
    <row r="92" spans="1:2" x14ac:dyDescent="0.2">
      <c r="B92" s="588" t="s">
        <v>533</v>
      </c>
    </row>
    <row r="93" spans="1:2" x14ac:dyDescent="0.2">
      <c r="B93" s="588" t="s">
        <v>534</v>
      </c>
    </row>
    <row r="94" spans="1:2" x14ac:dyDescent="0.2">
      <c r="A94" s="283" t="s">
        <v>29</v>
      </c>
      <c r="B94" s="121" t="s">
        <v>535</v>
      </c>
    </row>
    <row r="95" spans="1:2" x14ac:dyDescent="0.2">
      <c r="B95" s="51" t="s">
        <v>536</v>
      </c>
    </row>
    <row r="96" spans="1:2" x14ac:dyDescent="0.2">
      <c r="B96" s="51" t="s">
        <v>744</v>
      </c>
    </row>
  </sheetData>
  <sheetProtection sheet="1" objects="1" scenarios="1"/>
  <mergeCells count="38">
    <mergeCell ref="E34:V35"/>
    <mergeCell ref="E36:V37"/>
    <mergeCell ref="E38:V39"/>
    <mergeCell ref="E40:V41"/>
    <mergeCell ref="R2:V2"/>
    <mergeCell ref="E32:V33"/>
    <mergeCell ref="N16:P16"/>
    <mergeCell ref="E24:V26"/>
    <mergeCell ref="N4:P4"/>
    <mergeCell ref="F4:G4"/>
    <mergeCell ref="E28:V29"/>
    <mergeCell ref="E30:V31"/>
    <mergeCell ref="E42:V43"/>
    <mergeCell ref="R54:U54"/>
    <mergeCell ref="R55:U55"/>
    <mergeCell ref="E54:I54"/>
    <mergeCell ref="J54:M54"/>
    <mergeCell ref="R50:U50"/>
    <mergeCell ref="E48:I48"/>
    <mergeCell ref="E49:I49"/>
    <mergeCell ref="R48:U48"/>
    <mergeCell ref="R49:U49"/>
    <mergeCell ref="B59:N59"/>
    <mergeCell ref="R56:U56"/>
    <mergeCell ref="E56:I56"/>
    <mergeCell ref="J48:M48"/>
    <mergeCell ref="J49:M49"/>
    <mergeCell ref="J50:M50"/>
    <mergeCell ref="J51:M51"/>
    <mergeCell ref="J53:M53"/>
    <mergeCell ref="E51:I51"/>
    <mergeCell ref="J56:M56"/>
    <mergeCell ref="E50:I50"/>
    <mergeCell ref="J55:M55"/>
    <mergeCell ref="E55:I55"/>
    <mergeCell ref="E53:I53"/>
    <mergeCell ref="R51:U51"/>
    <mergeCell ref="R53:U53"/>
  </mergeCells>
  <phoneticPr fontId="0" type="noConversion"/>
  <conditionalFormatting sqref="C6:I15 N6:V15 C18:C20 F18:V20">
    <cfRule type="expression" dxfId="28" priority="2" stopIfTrue="1">
      <formula>NOT(AB6)</formula>
    </cfRule>
  </conditionalFormatting>
  <conditionalFormatting sqref="B59:N59">
    <cfRule type="expression" dxfId="27" priority="1" stopIfTrue="1">
      <formula>NOT($AB59)</formula>
    </cfRule>
  </conditionalFormatting>
  <pageMargins left="0.78740157499999996" right="0.78740157499999996" top="0.984251969" bottom="0.984251969" header="0.4921259845" footer="0.4921259845"/>
  <pageSetup paperSize="9" orientation="portrait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11" r:id="rId4" name="Check Box 143">
              <controlPr defaultSize="0" autoFill="0" autoLine="0" autoPict="0">
                <anchor moveWithCells="1">
                  <from>
                    <xdr:col>3</xdr:col>
                    <xdr:colOff>19050</xdr:colOff>
                    <xdr:row>4</xdr:row>
                    <xdr:rowOff>133350</xdr:rowOff>
                  </from>
                  <to>
                    <xdr:col>4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2" r:id="rId5" name="Check Box 184">
              <controlPr defaultSize="0" autoFill="0" autoLine="0" autoPict="0">
                <anchor moveWithCells="1">
                  <from>
                    <xdr:col>4</xdr:col>
                    <xdr:colOff>19050</xdr:colOff>
                    <xdr:row>4</xdr:row>
                    <xdr:rowOff>133350</xdr:rowOff>
                  </from>
                  <to>
                    <xdr:col>5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6" name="Check Box 5">
              <controlPr defaultSize="0" autoFill="0" autoLine="0" autoPict="0">
                <anchor moveWithCells="1">
                  <from>
                    <xdr:col>5</xdr:col>
                    <xdr:colOff>19050</xdr:colOff>
                    <xdr:row>4</xdr:row>
                    <xdr:rowOff>133350</xdr:rowOff>
                  </from>
                  <to>
                    <xdr:col>6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7" name="Check Box 6">
              <controlPr defaultSize="0" autoFill="0" autoLine="0" autoPict="0">
                <anchor moveWithCells="1">
                  <from>
                    <xdr:col>6</xdr:col>
                    <xdr:colOff>19050</xdr:colOff>
                    <xdr:row>4</xdr:row>
                    <xdr:rowOff>133350</xdr:rowOff>
                  </from>
                  <to>
                    <xdr:col>7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8" name="Check Box 11">
              <controlPr defaultSize="0" autoFill="0" autoLine="0" autoPict="0">
                <anchor moveWithCells="1">
                  <from>
                    <xdr:col>7</xdr:col>
                    <xdr:colOff>19050</xdr:colOff>
                    <xdr:row>4</xdr:row>
                    <xdr:rowOff>133350</xdr:rowOff>
                  </from>
                  <to>
                    <xdr:col>8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9" name="Check Box 12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133350</xdr:rowOff>
                  </from>
                  <to>
                    <xdr:col>9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0" name="Check Box 13">
              <controlPr defaultSize="0" autoFill="0" autoLine="0" autoPict="0">
                <anchor moveWithCells="1">
                  <from>
                    <xdr:col>17</xdr:col>
                    <xdr:colOff>19050</xdr:colOff>
                    <xdr:row>4</xdr:row>
                    <xdr:rowOff>133350</xdr:rowOff>
                  </from>
                  <to>
                    <xdr:col>18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1" name="Check Box 14">
              <controlPr defaultSize="0" autoFill="0" autoLine="0" autoPict="0">
                <anchor moveWithCells="1">
                  <from>
                    <xdr:col>18</xdr:col>
                    <xdr:colOff>19050</xdr:colOff>
                    <xdr:row>4</xdr:row>
                    <xdr:rowOff>133350</xdr:rowOff>
                  </from>
                  <to>
                    <xdr:col>19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2" name="Check Box 15">
              <controlPr defaultSize="0" autoFill="0" autoLine="0" autoPict="0">
                <anchor moveWithCells="1">
                  <from>
                    <xdr:col>19</xdr:col>
                    <xdr:colOff>19050</xdr:colOff>
                    <xdr:row>4</xdr:row>
                    <xdr:rowOff>133350</xdr:rowOff>
                  </from>
                  <to>
                    <xdr:col>20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3" name="Check Box 16">
              <controlPr defaultSize="0" autoFill="0" autoLine="0" autoPict="0">
                <anchor moveWithCells="1">
                  <from>
                    <xdr:col>20</xdr:col>
                    <xdr:colOff>19050</xdr:colOff>
                    <xdr:row>4</xdr:row>
                    <xdr:rowOff>133350</xdr:rowOff>
                  </from>
                  <to>
                    <xdr:col>21</xdr:col>
                    <xdr:colOff>95250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14" name="Check Box 144">
              <controlPr defaultSize="0" autoFill="0" autoLine="0" autoPict="0">
                <anchor moveWithCells="1">
                  <from>
                    <xdr:col>3</xdr:col>
                    <xdr:colOff>19050</xdr:colOff>
                    <xdr:row>5</xdr:row>
                    <xdr:rowOff>133350</xdr:rowOff>
                  </from>
                  <to>
                    <xdr:col>4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15" name="Check Box 154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133350</xdr:rowOff>
                  </from>
                  <to>
                    <xdr:col>5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>
                  <from>
                    <xdr:col>5</xdr:col>
                    <xdr:colOff>19050</xdr:colOff>
                    <xdr:row>5</xdr:row>
                    <xdr:rowOff>133350</xdr:rowOff>
                  </from>
                  <to>
                    <xdr:col>6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>
                  <from>
                    <xdr:col>6</xdr:col>
                    <xdr:colOff>19050</xdr:colOff>
                    <xdr:row>5</xdr:row>
                    <xdr:rowOff>133350</xdr:rowOff>
                  </from>
                  <to>
                    <xdr:col>7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>
                  <from>
                    <xdr:col>7</xdr:col>
                    <xdr:colOff>19050</xdr:colOff>
                    <xdr:row>5</xdr:row>
                    <xdr:rowOff>133350</xdr:rowOff>
                  </from>
                  <to>
                    <xdr:col>8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9" name="Check Box 20">
              <controlPr defaultSize="0" autoFill="0" autoLine="0" autoPict="0">
                <anchor moveWithCells="1">
                  <from>
                    <xdr:col>8</xdr:col>
                    <xdr:colOff>19050</xdr:colOff>
                    <xdr:row>5</xdr:row>
                    <xdr:rowOff>133350</xdr:rowOff>
                  </from>
                  <to>
                    <xdr:col>9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0" name="Check Box 21">
              <controlPr defaultSize="0" autoFill="0" autoLine="0" autoPict="0">
                <anchor moveWithCells="1">
                  <from>
                    <xdr:col>17</xdr:col>
                    <xdr:colOff>19050</xdr:colOff>
                    <xdr:row>5</xdr:row>
                    <xdr:rowOff>133350</xdr:rowOff>
                  </from>
                  <to>
                    <xdr:col>18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1" name="Check Box 22">
              <controlPr defaultSize="0" autoFill="0" autoLine="0" autoPict="0">
                <anchor moveWithCells="1">
                  <from>
                    <xdr:col>18</xdr:col>
                    <xdr:colOff>19050</xdr:colOff>
                    <xdr:row>5</xdr:row>
                    <xdr:rowOff>133350</xdr:rowOff>
                  </from>
                  <to>
                    <xdr:col>19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2" name="Check Box 23">
              <controlPr defaultSize="0" autoFill="0" autoLine="0" autoPict="0">
                <anchor moveWithCells="1">
                  <from>
                    <xdr:col>19</xdr:col>
                    <xdr:colOff>19050</xdr:colOff>
                    <xdr:row>5</xdr:row>
                    <xdr:rowOff>133350</xdr:rowOff>
                  </from>
                  <to>
                    <xdr:col>20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3" name="Check Box 24">
              <controlPr defaultSize="0" autoFill="0" autoLine="0" autoPict="0">
                <anchor moveWithCells="1">
                  <from>
                    <xdr:col>20</xdr:col>
                    <xdr:colOff>19050</xdr:colOff>
                    <xdr:row>5</xdr:row>
                    <xdr:rowOff>133350</xdr:rowOff>
                  </from>
                  <to>
                    <xdr:col>21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24" name="Check Box 145">
              <controlPr defaultSize="0" autoFill="0" autoLine="0" autoPict="0">
                <anchor moveWithCells="1">
                  <from>
                    <xdr:col>3</xdr:col>
                    <xdr:colOff>19050</xdr:colOff>
                    <xdr:row>6</xdr:row>
                    <xdr:rowOff>133350</xdr:rowOff>
                  </from>
                  <to>
                    <xdr:col>4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25" name="Check Box 155">
              <controlPr defaultSize="0" autoFill="0" autoLine="0" autoPict="0">
                <anchor moveWithCells="1">
                  <from>
                    <xdr:col>4</xdr:col>
                    <xdr:colOff>19050</xdr:colOff>
                    <xdr:row>6</xdr:row>
                    <xdr:rowOff>133350</xdr:rowOff>
                  </from>
                  <to>
                    <xdr:col>5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6" name="Check Box 25">
              <controlPr defaultSize="0" autoFill="0" autoLine="0" autoPict="0">
                <anchor moveWithCells="1">
                  <from>
                    <xdr:col>5</xdr:col>
                    <xdr:colOff>19050</xdr:colOff>
                    <xdr:row>6</xdr:row>
                    <xdr:rowOff>133350</xdr:rowOff>
                  </from>
                  <to>
                    <xdr:col>6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7" name="Check Box 26">
              <controlPr defaultSize="0" autoFill="0" autoLine="0" autoPict="0">
                <anchor moveWithCells="1">
                  <from>
                    <xdr:col>6</xdr:col>
                    <xdr:colOff>19050</xdr:colOff>
                    <xdr:row>6</xdr:row>
                    <xdr:rowOff>133350</xdr:rowOff>
                  </from>
                  <to>
                    <xdr:col>7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8" name="Check Box 27">
              <controlPr defaultSize="0" autoFill="0" autoLine="0" autoPict="0">
                <anchor moveWithCells="1">
                  <from>
                    <xdr:col>7</xdr:col>
                    <xdr:colOff>19050</xdr:colOff>
                    <xdr:row>6</xdr:row>
                    <xdr:rowOff>133350</xdr:rowOff>
                  </from>
                  <to>
                    <xdr:col>8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9" name="Check Box 28">
              <controlPr defaultSize="0" autoFill="0" autoLine="0" autoPict="0">
                <anchor moveWithCells="1">
                  <from>
                    <xdr:col>8</xdr:col>
                    <xdr:colOff>19050</xdr:colOff>
                    <xdr:row>6</xdr:row>
                    <xdr:rowOff>133350</xdr:rowOff>
                  </from>
                  <to>
                    <xdr:col>9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0" name="Check Box 29">
              <controlPr defaultSize="0" autoFill="0" autoLine="0" autoPict="0">
                <anchor moveWithCells="1">
                  <from>
                    <xdr:col>17</xdr:col>
                    <xdr:colOff>19050</xdr:colOff>
                    <xdr:row>6</xdr:row>
                    <xdr:rowOff>133350</xdr:rowOff>
                  </from>
                  <to>
                    <xdr:col>18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1" name="Check Box 30">
              <controlPr defaultSize="0" autoFill="0" autoLine="0" autoPict="0">
                <anchor moveWithCells="1">
                  <from>
                    <xdr:col>18</xdr:col>
                    <xdr:colOff>19050</xdr:colOff>
                    <xdr:row>6</xdr:row>
                    <xdr:rowOff>133350</xdr:rowOff>
                  </from>
                  <to>
                    <xdr:col>19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2" name="Check Box 31">
              <controlPr defaultSize="0" autoFill="0" autoLine="0" autoPict="0">
                <anchor moveWithCells="1">
                  <from>
                    <xdr:col>19</xdr:col>
                    <xdr:colOff>19050</xdr:colOff>
                    <xdr:row>6</xdr:row>
                    <xdr:rowOff>133350</xdr:rowOff>
                  </from>
                  <to>
                    <xdr:col>20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3" name="Check Box 32">
              <controlPr defaultSize="0" autoFill="0" autoLine="0" autoPict="0">
                <anchor moveWithCells="1">
                  <from>
                    <xdr:col>20</xdr:col>
                    <xdr:colOff>19050</xdr:colOff>
                    <xdr:row>6</xdr:row>
                    <xdr:rowOff>133350</xdr:rowOff>
                  </from>
                  <to>
                    <xdr:col>21</xdr:col>
                    <xdr:colOff>95250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34" name="Check Box 146">
              <controlPr defaultSize="0" autoFill="0" autoLine="0" autoPict="0">
                <anchor moveWithCells="1">
                  <from>
                    <xdr:col>3</xdr:col>
                    <xdr:colOff>19050</xdr:colOff>
                    <xdr:row>7</xdr:row>
                    <xdr:rowOff>133350</xdr:rowOff>
                  </from>
                  <to>
                    <xdr:col>4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35" name="Check Box 156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133350</xdr:rowOff>
                  </from>
                  <to>
                    <xdr:col>5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heck Box 33">
              <controlPr defaultSize="0" autoFill="0" autoLine="0" autoPict="0">
                <anchor moveWithCells="1">
                  <from>
                    <xdr:col>5</xdr:col>
                    <xdr:colOff>19050</xdr:colOff>
                    <xdr:row>7</xdr:row>
                    <xdr:rowOff>133350</xdr:rowOff>
                  </from>
                  <to>
                    <xdr:col>6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6</xdr:col>
                    <xdr:colOff>19050</xdr:colOff>
                    <xdr:row>7</xdr:row>
                    <xdr:rowOff>133350</xdr:rowOff>
                  </from>
                  <to>
                    <xdr:col>7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Check Box 35">
              <controlPr defaultSize="0" autoFill="0" autoLine="0" autoPict="0">
                <anchor moveWithCells="1">
                  <from>
                    <xdr:col>7</xdr:col>
                    <xdr:colOff>19050</xdr:colOff>
                    <xdr:row>7</xdr:row>
                    <xdr:rowOff>133350</xdr:rowOff>
                  </from>
                  <to>
                    <xdr:col>8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Check Box 36">
              <controlPr defaultSize="0" autoFill="0" autoLine="0" autoPict="0">
                <anchor moveWithCells="1">
                  <from>
                    <xdr:col>8</xdr:col>
                    <xdr:colOff>19050</xdr:colOff>
                    <xdr:row>7</xdr:row>
                    <xdr:rowOff>133350</xdr:rowOff>
                  </from>
                  <to>
                    <xdr:col>9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0" name="Check Box 37">
              <controlPr defaultSize="0" autoFill="0" autoLine="0" autoPict="0">
                <anchor moveWithCells="1">
                  <from>
                    <xdr:col>17</xdr:col>
                    <xdr:colOff>19050</xdr:colOff>
                    <xdr:row>7</xdr:row>
                    <xdr:rowOff>133350</xdr:rowOff>
                  </from>
                  <to>
                    <xdr:col>18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1" name="Check Box 38">
              <controlPr defaultSize="0" autoFill="0" autoLine="0" autoPict="0">
                <anchor moveWithCells="1">
                  <from>
                    <xdr:col>18</xdr:col>
                    <xdr:colOff>19050</xdr:colOff>
                    <xdr:row>7</xdr:row>
                    <xdr:rowOff>133350</xdr:rowOff>
                  </from>
                  <to>
                    <xdr:col>19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2" name="Check Box 39">
              <controlPr defaultSize="0" autoFill="0" autoLine="0" autoPict="0">
                <anchor moveWithCells="1">
                  <from>
                    <xdr:col>19</xdr:col>
                    <xdr:colOff>19050</xdr:colOff>
                    <xdr:row>7</xdr:row>
                    <xdr:rowOff>133350</xdr:rowOff>
                  </from>
                  <to>
                    <xdr:col>20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3" name="Check Box 40">
              <controlPr defaultSize="0" autoFill="0" autoLine="0" autoPict="0">
                <anchor moveWithCells="1">
                  <from>
                    <xdr:col>20</xdr:col>
                    <xdr:colOff>19050</xdr:colOff>
                    <xdr:row>7</xdr:row>
                    <xdr:rowOff>133350</xdr:rowOff>
                  </from>
                  <to>
                    <xdr:col>21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44" name="Check Box 147">
              <controlPr defaultSize="0" autoFill="0" autoLine="0" autoPict="0">
                <anchor moveWithCells="1">
                  <from>
                    <xdr:col>3</xdr:col>
                    <xdr:colOff>19050</xdr:colOff>
                    <xdr:row>8</xdr:row>
                    <xdr:rowOff>133350</xdr:rowOff>
                  </from>
                  <to>
                    <xdr:col>4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45" name="Check Box 157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133350</xdr:rowOff>
                  </from>
                  <to>
                    <xdr:col>5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6" name="Check Box 41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133350</xdr:rowOff>
                  </from>
                  <to>
                    <xdr:col>6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7" name="Check Box 42">
              <controlPr defaultSize="0" autoFill="0" autoLine="0" autoPict="0">
                <anchor moveWithCells="1">
                  <from>
                    <xdr:col>6</xdr:col>
                    <xdr:colOff>19050</xdr:colOff>
                    <xdr:row>8</xdr:row>
                    <xdr:rowOff>133350</xdr:rowOff>
                  </from>
                  <to>
                    <xdr:col>7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8" name="Check Box 43">
              <controlPr defaultSize="0" autoFill="0" autoLine="0" autoPict="0">
                <anchor moveWithCells="1">
                  <from>
                    <xdr:col>7</xdr:col>
                    <xdr:colOff>19050</xdr:colOff>
                    <xdr:row>8</xdr:row>
                    <xdr:rowOff>133350</xdr:rowOff>
                  </from>
                  <to>
                    <xdr:col>8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9" name="Check Box 44">
              <controlPr defaultSize="0" autoFill="0" autoLine="0" autoPict="0">
                <anchor moveWithCells="1">
                  <from>
                    <xdr:col>8</xdr:col>
                    <xdr:colOff>19050</xdr:colOff>
                    <xdr:row>8</xdr:row>
                    <xdr:rowOff>133350</xdr:rowOff>
                  </from>
                  <to>
                    <xdr:col>9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50" name="Check Box 45">
              <controlPr defaultSize="0" autoFill="0" autoLine="0" autoPict="0">
                <anchor moveWithCells="1">
                  <from>
                    <xdr:col>17</xdr:col>
                    <xdr:colOff>19050</xdr:colOff>
                    <xdr:row>8</xdr:row>
                    <xdr:rowOff>133350</xdr:rowOff>
                  </from>
                  <to>
                    <xdr:col>18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51" name="Check Box 46">
              <controlPr defaultSize="0" autoFill="0" autoLine="0" autoPict="0">
                <anchor moveWithCells="1">
                  <from>
                    <xdr:col>18</xdr:col>
                    <xdr:colOff>19050</xdr:colOff>
                    <xdr:row>8</xdr:row>
                    <xdr:rowOff>133350</xdr:rowOff>
                  </from>
                  <to>
                    <xdr:col>19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2" name="Check Box 47">
              <controlPr defaultSize="0" autoFill="0" autoLine="0" autoPict="0">
                <anchor moveWithCells="1">
                  <from>
                    <xdr:col>19</xdr:col>
                    <xdr:colOff>19050</xdr:colOff>
                    <xdr:row>8</xdr:row>
                    <xdr:rowOff>133350</xdr:rowOff>
                  </from>
                  <to>
                    <xdr:col>20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3" name="Check Box 48">
              <controlPr defaultSize="0" autoFill="0" autoLine="0" autoPict="0">
                <anchor moveWithCells="1">
                  <from>
                    <xdr:col>20</xdr:col>
                    <xdr:colOff>19050</xdr:colOff>
                    <xdr:row>8</xdr:row>
                    <xdr:rowOff>133350</xdr:rowOff>
                  </from>
                  <to>
                    <xdr:col>21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54" name="Check Box 148">
              <controlPr defaultSize="0" autoFill="0" autoLine="0" autoPict="0">
                <anchor moveWithCells="1">
                  <from>
                    <xdr:col>3</xdr:col>
                    <xdr:colOff>19050</xdr:colOff>
                    <xdr:row>9</xdr:row>
                    <xdr:rowOff>133350</xdr:rowOff>
                  </from>
                  <to>
                    <xdr:col>4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55" name="Check Box 158">
              <controlPr defaultSize="0" autoFill="0" autoLine="0" autoPict="0">
                <anchor moveWithCells="1">
                  <from>
                    <xdr:col>4</xdr:col>
                    <xdr:colOff>19050</xdr:colOff>
                    <xdr:row>9</xdr:row>
                    <xdr:rowOff>133350</xdr:rowOff>
                  </from>
                  <to>
                    <xdr:col>5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6" name="Check Box 49">
              <controlPr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133350</xdr:rowOff>
                  </from>
                  <to>
                    <xdr:col>6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7" name="Check Box 50">
              <controlPr defaultSize="0" autoFill="0" autoLine="0" autoPict="0">
                <anchor moveWithCells="1">
                  <from>
                    <xdr:col>6</xdr:col>
                    <xdr:colOff>19050</xdr:colOff>
                    <xdr:row>9</xdr:row>
                    <xdr:rowOff>133350</xdr:rowOff>
                  </from>
                  <to>
                    <xdr:col>7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8" name="Check Box 51">
              <controlPr defaultSize="0" autoFill="0" autoLine="0" autoPict="0">
                <anchor moveWithCells="1">
                  <from>
                    <xdr:col>7</xdr:col>
                    <xdr:colOff>19050</xdr:colOff>
                    <xdr:row>9</xdr:row>
                    <xdr:rowOff>133350</xdr:rowOff>
                  </from>
                  <to>
                    <xdr:col>8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9" name="Check Box 52">
              <controlPr defaultSize="0" autoFill="0" autoLine="0" autoPict="0">
                <anchor moveWithCells="1">
                  <from>
                    <xdr:col>8</xdr:col>
                    <xdr:colOff>19050</xdr:colOff>
                    <xdr:row>9</xdr:row>
                    <xdr:rowOff>133350</xdr:rowOff>
                  </from>
                  <to>
                    <xdr:col>9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60" name="Check Box 53">
              <controlPr defaultSize="0" autoFill="0" autoLine="0" autoPict="0">
                <anchor moveWithCells="1">
                  <from>
                    <xdr:col>17</xdr:col>
                    <xdr:colOff>19050</xdr:colOff>
                    <xdr:row>9</xdr:row>
                    <xdr:rowOff>133350</xdr:rowOff>
                  </from>
                  <to>
                    <xdr:col>18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61" name="Check Box 54">
              <controlPr defaultSize="0" autoFill="0" autoLine="0" autoPict="0">
                <anchor moveWithCells="1">
                  <from>
                    <xdr:col>18</xdr:col>
                    <xdr:colOff>19050</xdr:colOff>
                    <xdr:row>9</xdr:row>
                    <xdr:rowOff>133350</xdr:rowOff>
                  </from>
                  <to>
                    <xdr:col>19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62" name="Check Box 55">
              <controlPr defaultSize="0" autoFill="0" autoLine="0" autoPict="0">
                <anchor moveWithCells="1">
                  <from>
                    <xdr:col>19</xdr:col>
                    <xdr:colOff>19050</xdr:colOff>
                    <xdr:row>9</xdr:row>
                    <xdr:rowOff>133350</xdr:rowOff>
                  </from>
                  <to>
                    <xdr:col>20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63" name="Check Box 56">
              <controlPr defaultSize="0" autoFill="0" autoLine="0" autoPict="0">
                <anchor moveWithCells="1">
                  <from>
                    <xdr:col>20</xdr:col>
                    <xdr:colOff>19050</xdr:colOff>
                    <xdr:row>9</xdr:row>
                    <xdr:rowOff>133350</xdr:rowOff>
                  </from>
                  <to>
                    <xdr:col>21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64" name="Check Box 149">
              <controlPr defaultSize="0" autoFill="0" autoLine="0" autoPict="0">
                <anchor moveWithCells="1">
                  <from>
                    <xdr:col>3</xdr:col>
                    <xdr:colOff>19050</xdr:colOff>
                    <xdr:row>10</xdr:row>
                    <xdr:rowOff>133350</xdr:rowOff>
                  </from>
                  <to>
                    <xdr:col>4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65" name="Check Box 159">
              <controlPr defaultSize="0" autoFill="0" autoLine="0" autoPict="0">
                <anchor moveWithCells="1">
                  <from>
                    <xdr:col>4</xdr:col>
                    <xdr:colOff>19050</xdr:colOff>
                    <xdr:row>10</xdr:row>
                    <xdr:rowOff>133350</xdr:rowOff>
                  </from>
                  <to>
                    <xdr:col>5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66" name="Check Box 57">
              <controlPr defaultSize="0" autoFill="0" autoLine="0" autoPict="0">
                <anchor moveWithCells="1">
                  <from>
                    <xdr:col>5</xdr:col>
                    <xdr:colOff>19050</xdr:colOff>
                    <xdr:row>10</xdr:row>
                    <xdr:rowOff>133350</xdr:rowOff>
                  </from>
                  <to>
                    <xdr:col>6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67" name="Check Box 58">
              <controlPr defaultSize="0" autoFill="0" autoLine="0" autoPict="0">
                <anchor moveWithCells="1">
                  <from>
                    <xdr:col>6</xdr:col>
                    <xdr:colOff>19050</xdr:colOff>
                    <xdr:row>10</xdr:row>
                    <xdr:rowOff>133350</xdr:rowOff>
                  </from>
                  <to>
                    <xdr:col>7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68" name="Check Box 59">
              <controlPr defaultSize="0" autoFill="0" autoLine="0" autoPict="0">
                <anchor moveWithCells="1">
                  <from>
                    <xdr:col>7</xdr:col>
                    <xdr:colOff>19050</xdr:colOff>
                    <xdr:row>10</xdr:row>
                    <xdr:rowOff>133350</xdr:rowOff>
                  </from>
                  <to>
                    <xdr:col>8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9" name="Check Box 60">
              <controlPr defaultSize="0" autoFill="0" autoLine="0" autoPict="0">
                <anchor moveWithCells="1">
                  <from>
                    <xdr:col>8</xdr:col>
                    <xdr:colOff>19050</xdr:colOff>
                    <xdr:row>10</xdr:row>
                    <xdr:rowOff>133350</xdr:rowOff>
                  </from>
                  <to>
                    <xdr:col>9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70" name="Check Box 61">
              <controlPr defaultSize="0" autoFill="0" autoLine="0" autoPict="0">
                <anchor moveWithCells="1">
                  <from>
                    <xdr:col>17</xdr:col>
                    <xdr:colOff>19050</xdr:colOff>
                    <xdr:row>10</xdr:row>
                    <xdr:rowOff>133350</xdr:rowOff>
                  </from>
                  <to>
                    <xdr:col>18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71" name="Check Box 62">
              <controlPr defaultSize="0" autoFill="0" autoLine="0" autoPict="0">
                <anchor moveWithCells="1">
                  <from>
                    <xdr:col>18</xdr:col>
                    <xdr:colOff>19050</xdr:colOff>
                    <xdr:row>10</xdr:row>
                    <xdr:rowOff>133350</xdr:rowOff>
                  </from>
                  <to>
                    <xdr:col>19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72" name="Check Box 63">
              <controlPr defaultSize="0" autoFill="0" autoLine="0" autoPict="0">
                <anchor moveWithCells="1">
                  <from>
                    <xdr:col>19</xdr:col>
                    <xdr:colOff>19050</xdr:colOff>
                    <xdr:row>10</xdr:row>
                    <xdr:rowOff>133350</xdr:rowOff>
                  </from>
                  <to>
                    <xdr:col>20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73" name="Check Box 64">
              <controlPr defaultSize="0" autoFill="0" autoLine="0" autoPict="0">
                <anchor moveWithCells="1">
                  <from>
                    <xdr:col>20</xdr:col>
                    <xdr:colOff>19050</xdr:colOff>
                    <xdr:row>10</xdr:row>
                    <xdr:rowOff>133350</xdr:rowOff>
                  </from>
                  <to>
                    <xdr:col>21</xdr:col>
                    <xdr:colOff>95250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74" name="Check Box 150">
              <controlPr defaultSize="0" autoFill="0" autoLine="0" autoPict="0">
                <anchor moveWithCells="1">
                  <from>
                    <xdr:col>3</xdr:col>
                    <xdr:colOff>19050</xdr:colOff>
                    <xdr:row>11</xdr:row>
                    <xdr:rowOff>133350</xdr:rowOff>
                  </from>
                  <to>
                    <xdr:col>4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75" name="Check Box 160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133350</xdr:rowOff>
                  </from>
                  <to>
                    <xdr:col>5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76" name="Check Box 65">
              <controlPr defaultSize="0" autoFill="0" autoLine="0" autoPict="0">
                <anchor moveWithCells="1">
                  <from>
                    <xdr:col>5</xdr:col>
                    <xdr:colOff>19050</xdr:colOff>
                    <xdr:row>11</xdr:row>
                    <xdr:rowOff>133350</xdr:rowOff>
                  </from>
                  <to>
                    <xdr:col>6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77" name="Check Box 66">
              <controlPr defaultSize="0" autoFill="0" autoLine="0" autoPict="0">
                <anchor moveWithCells="1">
                  <from>
                    <xdr:col>6</xdr:col>
                    <xdr:colOff>19050</xdr:colOff>
                    <xdr:row>11</xdr:row>
                    <xdr:rowOff>133350</xdr:rowOff>
                  </from>
                  <to>
                    <xdr:col>7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78" name="Check Box 67">
              <controlPr defaultSize="0" autoFill="0" autoLine="0" autoPict="0">
                <anchor moveWithCells="1">
                  <from>
                    <xdr:col>7</xdr:col>
                    <xdr:colOff>19050</xdr:colOff>
                    <xdr:row>11</xdr:row>
                    <xdr:rowOff>133350</xdr:rowOff>
                  </from>
                  <to>
                    <xdr:col>8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79" name="Check Box 68">
              <controlPr defaultSize="0" autoFill="0" autoLine="0" autoPict="0">
                <anchor moveWithCells="1">
                  <from>
                    <xdr:col>8</xdr:col>
                    <xdr:colOff>19050</xdr:colOff>
                    <xdr:row>11</xdr:row>
                    <xdr:rowOff>133350</xdr:rowOff>
                  </from>
                  <to>
                    <xdr:col>9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80" name="Check Box 69">
              <controlPr defaultSize="0" autoFill="0" autoLine="0" autoPict="0">
                <anchor moveWithCells="1">
                  <from>
                    <xdr:col>17</xdr:col>
                    <xdr:colOff>19050</xdr:colOff>
                    <xdr:row>11</xdr:row>
                    <xdr:rowOff>133350</xdr:rowOff>
                  </from>
                  <to>
                    <xdr:col>18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81" name="Check Box 70">
              <controlPr defaultSize="0" autoFill="0" autoLine="0" autoPict="0">
                <anchor moveWithCells="1">
                  <from>
                    <xdr:col>18</xdr:col>
                    <xdr:colOff>19050</xdr:colOff>
                    <xdr:row>11</xdr:row>
                    <xdr:rowOff>133350</xdr:rowOff>
                  </from>
                  <to>
                    <xdr:col>19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82" name="Check Box 71">
              <controlPr defaultSize="0" autoFill="0" autoLine="0" autoPict="0">
                <anchor moveWithCells="1">
                  <from>
                    <xdr:col>19</xdr:col>
                    <xdr:colOff>19050</xdr:colOff>
                    <xdr:row>11</xdr:row>
                    <xdr:rowOff>133350</xdr:rowOff>
                  </from>
                  <to>
                    <xdr:col>20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83" name="Check Box 72">
              <controlPr defaultSize="0" autoFill="0" autoLine="0" autoPict="0">
                <anchor moveWithCells="1">
                  <from>
                    <xdr:col>20</xdr:col>
                    <xdr:colOff>19050</xdr:colOff>
                    <xdr:row>11</xdr:row>
                    <xdr:rowOff>133350</xdr:rowOff>
                  </from>
                  <to>
                    <xdr:col>21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84" name="Check Box 151">
              <controlPr defaultSize="0" autoFill="0" autoLine="0" autoPict="0">
                <anchor moveWithCells="1">
                  <from>
                    <xdr:col>3</xdr:col>
                    <xdr:colOff>19050</xdr:colOff>
                    <xdr:row>12</xdr:row>
                    <xdr:rowOff>133350</xdr:rowOff>
                  </from>
                  <to>
                    <xdr:col>4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85" name="Check Box 161">
              <controlPr defaultSize="0" autoFill="0" autoLine="0" autoPict="0">
                <anchor moveWithCells="1">
                  <from>
                    <xdr:col>4</xdr:col>
                    <xdr:colOff>19050</xdr:colOff>
                    <xdr:row>12</xdr:row>
                    <xdr:rowOff>133350</xdr:rowOff>
                  </from>
                  <to>
                    <xdr:col>5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86" name="Check Box 73">
              <controlPr defaultSize="0" autoFill="0" autoLine="0" autoPict="0">
                <anchor moveWithCells="1">
                  <from>
                    <xdr:col>5</xdr:col>
                    <xdr:colOff>19050</xdr:colOff>
                    <xdr:row>12</xdr:row>
                    <xdr:rowOff>133350</xdr:rowOff>
                  </from>
                  <to>
                    <xdr:col>6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87" name="Check Box 74">
              <controlPr defaultSize="0" autoFill="0" autoLine="0" autoPict="0">
                <anchor moveWithCells="1">
                  <from>
                    <xdr:col>6</xdr:col>
                    <xdr:colOff>19050</xdr:colOff>
                    <xdr:row>12</xdr:row>
                    <xdr:rowOff>133350</xdr:rowOff>
                  </from>
                  <to>
                    <xdr:col>7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88" name="Check Box 75">
              <controlPr defaultSize="0" autoFill="0" autoLine="0" autoPict="0">
                <anchor moveWithCells="1">
                  <from>
                    <xdr:col>7</xdr:col>
                    <xdr:colOff>19050</xdr:colOff>
                    <xdr:row>12</xdr:row>
                    <xdr:rowOff>133350</xdr:rowOff>
                  </from>
                  <to>
                    <xdr:col>8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89" name="Check Box 76">
              <controlPr defaultSize="0" autoFill="0" autoLine="0" autoPict="0">
                <anchor moveWithCells="1">
                  <from>
                    <xdr:col>8</xdr:col>
                    <xdr:colOff>19050</xdr:colOff>
                    <xdr:row>12</xdr:row>
                    <xdr:rowOff>133350</xdr:rowOff>
                  </from>
                  <to>
                    <xdr:col>9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90" name="Check Box 77">
              <controlPr defaultSize="0" autoFill="0" autoLine="0" autoPict="0">
                <anchor moveWithCells="1">
                  <from>
                    <xdr:col>17</xdr:col>
                    <xdr:colOff>19050</xdr:colOff>
                    <xdr:row>12</xdr:row>
                    <xdr:rowOff>133350</xdr:rowOff>
                  </from>
                  <to>
                    <xdr:col>18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91" name="Check Box 78">
              <controlPr defaultSize="0" autoFill="0" autoLine="0" autoPict="0">
                <anchor moveWithCells="1">
                  <from>
                    <xdr:col>18</xdr:col>
                    <xdr:colOff>19050</xdr:colOff>
                    <xdr:row>12</xdr:row>
                    <xdr:rowOff>133350</xdr:rowOff>
                  </from>
                  <to>
                    <xdr:col>19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92" name="Check Box 79">
              <controlPr defaultSize="0" autoFill="0" autoLine="0" autoPict="0">
                <anchor moveWithCells="1">
                  <from>
                    <xdr:col>19</xdr:col>
                    <xdr:colOff>19050</xdr:colOff>
                    <xdr:row>12</xdr:row>
                    <xdr:rowOff>133350</xdr:rowOff>
                  </from>
                  <to>
                    <xdr:col>20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93" name="Check Box 80">
              <controlPr defaultSize="0" autoFill="0" autoLine="0" autoPict="0">
                <anchor moveWithCells="1">
                  <from>
                    <xdr:col>20</xdr:col>
                    <xdr:colOff>19050</xdr:colOff>
                    <xdr:row>12</xdr:row>
                    <xdr:rowOff>133350</xdr:rowOff>
                  </from>
                  <to>
                    <xdr:col>21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94" name="Check Box 152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133350</xdr:rowOff>
                  </from>
                  <to>
                    <xdr:col>4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95" name="Check Box 162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133350</xdr:rowOff>
                  </from>
                  <to>
                    <xdr:col>5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96" name="Check Box 108">
              <controlPr defaultSize="0" autoFill="0" autoLine="0" autoPict="0">
                <anchor moveWithCells="1">
                  <from>
                    <xdr:col>5</xdr:col>
                    <xdr:colOff>19050</xdr:colOff>
                    <xdr:row>13</xdr:row>
                    <xdr:rowOff>133350</xdr:rowOff>
                  </from>
                  <to>
                    <xdr:col>6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97" name="Check Box 82">
              <controlPr defaultSize="0" autoFill="0" autoLine="0" autoPict="0">
                <anchor moveWithCells="1">
                  <from>
                    <xdr:col>6</xdr:col>
                    <xdr:colOff>19050</xdr:colOff>
                    <xdr:row>13</xdr:row>
                    <xdr:rowOff>133350</xdr:rowOff>
                  </from>
                  <to>
                    <xdr:col>7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98" name="Check Box 83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133350</xdr:rowOff>
                  </from>
                  <to>
                    <xdr:col>8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99" name="Check Box 84">
              <controlPr defaultSize="0" autoFill="0" autoLine="0" autoPict="0">
                <anchor moveWithCells="1">
                  <from>
                    <xdr:col>8</xdr:col>
                    <xdr:colOff>19050</xdr:colOff>
                    <xdr:row>13</xdr:row>
                    <xdr:rowOff>133350</xdr:rowOff>
                  </from>
                  <to>
                    <xdr:col>9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100" name="Check Box 85">
              <controlPr defaultSize="0" autoFill="0" autoLine="0" autoPict="0">
                <anchor moveWithCells="1">
                  <from>
                    <xdr:col>17</xdr:col>
                    <xdr:colOff>19050</xdr:colOff>
                    <xdr:row>13</xdr:row>
                    <xdr:rowOff>133350</xdr:rowOff>
                  </from>
                  <to>
                    <xdr:col>18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101" name="Check Box 86">
              <controlPr defaultSize="0" autoFill="0" autoLine="0" autoPict="0">
                <anchor moveWithCells="1">
                  <from>
                    <xdr:col>18</xdr:col>
                    <xdr:colOff>19050</xdr:colOff>
                    <xdr:row>13</xdr:row>
                    <xdr:rowOff>133350</xdr:rowOff>
                  </from>
                  <to>
                    <xdr:col>19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102" name="Check Box 87">
              <controlPr defaultSize="0" autoFill="0" autoLine="0" autoPict="0">
                <anchor moveWithCells="1">
                  <from>
                    <xdr:col>19</xdr:col>
                    <xdr:colOff>19050</xdr:colOff>
                    <xdr:row>13</xdr:row>
                    <xdr:rowOff>133350</xdr:rowOff>
                  </from>
                  <to>
                    <xdr:col>20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103" name="Check Box 88">
              <controlPr defaultSize="0" autoFill="0" autoLine="0" autoPict="0">
                <anchor moveWithCells="1">
                  <from>
                    <xdr:col>20</xdr:col>
                    <xdr:colOff>19050</xdr:colOff>
                    <xdr:row>13</xdr:row>
                    <xdr:rowOff>133350</xdr:rowOff>
                  </from>
                  <to>
                    <xdr:col>21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104" name="Check Box 81">
              <controlPr defaultSize="0" autoFill="0" autoLine="0" autoPict="0">
                <anchor moveWithCells="1">
                  <from>
                    <xdr:col>5</xdr:col>
                    <xdr:colOff>19050</xdr:colOff>
                    <xdr:row>16</xdr:row>
                    <xdr:rowOff>133350</xdr:rowOff>
                  </from>
                  <to>
                    <xdr:col>6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105" name="Check Box 109">
              <controlPr defaultSize="0" autoFill="0" autoLine="0" autoPict="0">
                <anchor moveWithCells="1">
                  <from>
                    <xdr:col>6</xdr:col>
                    <xdr:colOff>19050</xdr:colOff>
                    <xdr:row>16</xdr:row>
                    <xdr:rowOff>133350</xdr:rowOff>
                  </from>
                  <to>
                    <xdr:col>7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106" name="Check Box 112">
              <controlPr defaultSize="0" autoFill="0" autoLine="0" autoPict="0">
                <anchor moveWithCells="1">
                  <from>
                    <xdr:col>7</xdr:col>
                    <xdr:colOff>19050</xdr:colOff>
                    <xdr:row>16</xdr:row>
                    <xdr:rowOff>133350</xdr:rowOff>
                  </from>
                  <to>
                    <xdr:col>8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107" name="Check Box 115">
              <controlPr defaultSize="0" autoFill="0" autoLine="0" autoPict="0">
                <anchor moveWithCells="1">
                  <from>
                    <xdr:col>8</xdr:col>
                    <xdr:colOff>19050</xdr:colOff>
                    <xdr:row>16</xdr:row>
                    <xdr:rowOff>133350</xdr:rowOff>
                  </from>
                  <to>
                    <xdr:col>9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108" name="Check Box 121">
              <controlPr defaultSize="0" autoFill="0" autoLine="0" autoPict="0">
                <anchor moveWithCells="1">
                  <from>
                    <xdr:col>9</xdr:col>
                    <xdr:colOff>19050</xdr:colOff>
                    <xdr:row>16</xdr:row>
                    <xdr:rowOff>133350</xdr:rowOff>
                  </from>
                  <to>
                    <xdr:col>10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4" r:id="rId109" name="Check Box 166">
              <controlPr defaultSize="0" autoFill="0" autoLine="0" autoPict="0">
                <anchor moveWithCells="1">
                  <from>
                    <xdr:col>10</xdr:col>
                    <xdr:colOff>19050</xdr:colOff>
                    <xdr:row>16</xdr:row>
                    <xdr:rowOff>133350</xdr:rowOff>
                  </from>
                  <to>
                    <xdr:col>11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110" name="Check Box 127">
              <controlPr defaultSize="0" autoFill="0" autoLine="0" autoPict="0">
                <anchor moveWithCells="1">
                  <from>
                    <xdr:col>11</xdr:col>
                    <xdr:colOff>19050</xdr:colOff>
                    <xdr:row>16</xdr:row>
                    <xdr:rowOff>133350</xdr:rowOff>
                  </from>
                  <to>
                    <xdr:col>12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7" r:id="rId111" name="Check Box 169">
              <controlPr defaultSize="0" autoFill="0" autoLine="0" autoPict="0">
                <anchor moveWithCells="1">
                  <from>
                    <xdr:col>12</xdr:col>
                    <xdr:colOff>19050</xdr:colOff>
                    <xdr:row>16</xdr:row>
                    <xdr:rowOff>133350</xdr:rowOff>
                  </from>
                  <to>
                    <xdr:col>13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4" r:id="rId112" name="Check Box 136">
              <controlPr defaultSize="0" autoFill="0" autoLine="0" autoPict="0">
                <anchor moveWithCells="1">
                  <from>
                    <xdr:col>17</xdr:col>
                    <xdr:colOff>19050</xdr:colOff>
                    <xdr:row>16</xdr:row>
                    <xdr:rowOff>133350</xdr:rowOff>
                  </from>
                  <to>
                    <xdr:col>18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3" r:id="rId113" name="Check Box 175">
              <controlPr defaultSize="0" autoFill="0" autoLine="0" autoPict="0">
                <anchor moveWithCells="1">
                  <from>
                    <xdr:col>18</xdr:col>
                    <xdr:colOff>19050</xdr:colOff>
                    <xdr:row>16</xdr:row>
                    <xdr:rowOff>133350</xdr:rowOff>
                  </from>
                  <to>
                    <xdr:col>19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7" r:id="rId114" name="Check Box 139">
              <controlPr defaultSize="0" autoFill="0" autoLine="0" autoPict="0">
                <anchor moveWithCells="1">
                  <from>
                    <xdr:col>19</xdr:col>
                    <xdr:colOff>19050</xdr:colOff>
                    <xdr:row>16</xdr:row>
                    <xdr:rowOff>133350</xdr:rowOff>
                  </from>
                  <to>
                    <xdr:col>20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6" r:id="rId115" name="Check Box 178">
              <controlPr defaultSize="0" autoFill="0" autoLine="0" autoPict="0">
                <anchor moveWithCells="1">
                  <from>
                    <xdr:col>20</xdr:col>
                    <xdr:colOff>19050</xdr:colOff>
                    <xdr:row>16</xdr:row>
                    <xdr:rowOff>133350</xdr:rowOff>
                  </from>
                  <to>
                    <xdr:col>21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116" name="Check Box 106">
              <controlPr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133350</xdr:rowOff>
                  </from>
                  <to>
                    <xdr:col>6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117" name="Check Box 110">
              <controlPr defaultSize="0" autoFill="0" autoLine="0" autoPict="0">
                <anchor moveWithCells="1">
                  <from>
                    <xdr:col>6</xdr:col>
                    <xdr:colOff>19050</xdr:colOff>
                    <xdr:row>17</xdr:row>
                    <xdr:rowOff>133350</xdr:rowOff>
                  </from>
                  <to>
                    <xdr:col>7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118" name="Check Box 113">
              <controlPr defaultSize="0" autoFill="0" autoLine="0" autoPict="0">
                <anchor moveWithCells="1">
                  <from>
                    <xdr:col>7</xdr:col>
                    <xdr:colOff>19050</xdr:colOff>
                    <xdr:row>17</xdr:row>
                    <xdr:rowOff>133350</xdr:rowOff>
                  </from>
                  <to>
                    <xdr:col>8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119" name="Check Box 116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133350</xdr:rowOff>
                  </from>
                  <to>
                    <xdr:col>9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120" name="Check Box 122">
              <controlPr defaultSize="0" autoFill="0" autoLine="0" autoPict="0">
                <anchor moveWithCells="1">
                  <from>
                    <xdr:col>9</xdr:col>
                    <xdr:colOff>19050</xdr:colOff>
                    <xdr:row>17</xdr:row>
                    <xdr:rowOff>133350</xdr:rowOff>
                  </from>
                  <to>
                    <xdr:col>10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5" r:id="rId121" name="Check Box 167">
              <controlPr defaultSize="0" autoFill="0" autoLine="0" autoPict="0">
                <anchor moveWithCells="1">
                  <from>
                    <xdr:col>10</xdr:col>
                    <xdr:colOff>19050</xdr:colOff>
                    <xdr:row>17</xdr:row>
                    <xdr:rowOff>133350</xdr:rowOff>
                  </from>
                  <to>
                    <xdr:col>11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122" name="Check Box 128">
              <controlPr defaultSize="0" autoFill="0" autoLine="0" autoPict="0">
                <anchor moveWithCells="1">
                  <from>
                    <xdr:col>11</xdr:col>
                    <xdr:colOff>19050</xdr:colOff>
                    <xdr:row>17</xdr:row>
                    <xdr:rowOff>133350</xdr:rowOff>
                  </from>
                  <to>
                    <xdr:col>12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8" r:id="rId123" name="Check Box 170">
              <controlPr defaultSize="0" autoFill="0" autoLine="0" autoPict="0">
                <anchor moveWithCells="1">
                  <from>
                    <xdr:col>12</xdr:col>
                    <xdr:colOff>19050</xdr:colOff>
                    <xdr:row>17</xdr:row>
                    <xdr:rowOff>133350</xdr:rowOff>
                  </from>
                  <to>
                    <xdr:col>13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124" name="Check Box 137">
              <controlPr defaultSize="0" autoFill="0" autoLine="0" autoPict="0">
                <anchor moveWithCells="1">
                  <from>
                    <xdr:col>17</xdr:col>
                    <xdr:colOff>19050</xdr:colOff>
                    <xdr:row>17</xdr:row>
                    <xdr:rowOff>133350</xdr:rowOff>
                  </from>
                  <to>
                    <xdr:col>18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4" r:id="rId125" name="Check Box 176">
              <controlPr defaultSize="0" autoFill="0" autoLine="0" autoPict="0">
                <anchor moveWithCells="1">
                  <from>
                    <xdr:col>18</xdr:col>
                    <xdr:colOff>19050</xdr:colOff>
                    <xdr:row>17</xdr:row>
                    <xdr:rowOff>133350</xdr:rowOff>
                  </from>
                  <to>
                    <xdr:col>19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8" r:id="rId126" name="Check Box 140">
              <controlPr defaultSize="0" autoFill="0" autoLine="0" autoPict="0">
                <anchor moveWithCells="1">
                  <from>
                    <xdr:col>19</xdr:col>
                    <xdr:colOff>19050</xdr:colOff>
                    <xdr:row>17</xdr:row>
                    <xdr:rowOff>133350</xdr:rowOff>
                  </from>
                  <to>
                    <xdr:col>20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7" r:id="rId127" name="Check Box 179">
              <controlPr defaultSize="0" autoFill="0" autoLine="0" autoPict="0">
                <anchor moveWithCells="1">
                  <from>
                    <xdr:col>20</xdr:col>
                    <xdr:colOff>19050</xdr:colOff>
                    <xdr:row>17</xdr:row>
                    <xdr:rowOff>133350</xdr:rowOff>
                  </from>
                  <to>
                    <xdr:col>21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128" name="Check Box 107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133350</xdr:rowOff>
                  </from>
                  <to>
                    <xdr:col>6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129" name="Check Box 111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133350</xdr:rowOff>
                  </from>
                  <to>
                    <xdr:col>7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130" name="Check Box 114">
              <controlPr defaultSize="0" autoFill="0" autoLine="0" autoPict="0">
                <anchor moveWithCells="1">
                  <from>
                    <xdr:col>7</xdr:col>
                    <xdr:colOff>19050</xdr:colOff>
                    <xdr:row>18</xdr:row>
                    <xdr:rowOff>133350</xdr:rowOff>
                  </from>
                  <to>
                    <xdr:col>8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131" name="Check Box 117">
              <controlPr defaultSize="0" autoFill="0" autoLine="0" autoPict="0">
                <anchor moveWithCells="1">
                  <from>
                    <xdr:col>8</xdr:col>
                    <xdr:colOff>19050</xdr:colOff>
                    <xdr:row>18</xdr:row>
                    <xdr:rowOff>133350</xdr:rowOff>
                  </from>
                  <to>
                    <xdr:col>9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3" r:id="rId132" name="Check Box 165">
              <controlPr defaultSize="0" autoFill="0" autoLine="0" autoPict="0">
                <anchor moveWithCells="1">
                  <from>
                    <xdr:col>9</xdr:col>
                    <xdr:colOff>19050</xdr:colOff>
                    <xdr:row>18</xdr:row>
                    <xdr:rowOff>133350</xdr:rowOff>
                  </from>
                  <to>
                    <xdr:col>10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6" r:id="rId133" name="Check Box 168">
              <controlPr defaultSize="0" autoFill="0" autoLine="0" autoPict="0">
                <anchor moveWithCells="1">
                  <from>
                    <xdr:col>10</xdr:col>
                    <xdr:colOff>19050</xdr:colOff>
                    <xdr:row>18</xdr:row>
                    <xdr:rowOff>133350</xdr:rowOff>
                  </from>
                  <to>
                    <xdr:col>11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134" name="Check Box 129">
              <controlPr defaultSize="0" autoFill="0" autoLine="0" autoPict="0">
                <anchor moveWithCells="1">
                  <from>
                    <xdr:col>11</xdr:col>
                    <xdr:colOff>19050</xdr:colOff>
                    <xdr:row>18</xdr:row>
                    <xdr:rowOff>133350</xdr:rowOff>
                  </from>
                  <to>
                    <xdr:col>12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9" r:id="rId135" name="Check Box 171">
              <controlPr defaultSize="0" autoFill="0" autoLine="0" autoPict="0">
                <anchor moveWithCells="1">
                  <from>
                    <xdr:col>12</xdr:col>
                    <xdr:colOff>19050</xdr:colOff>
                    <xdr:row>18</xdr:row>
                    <xdr:rowOff>133350</xdr:rowOff>
                  </from>
                  <to>
                    <xdr:col>13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6" r:id="rId136" name="Check Box 138">
              <controlPr defaultSize="0" autoFill="0" autoLine="0" autoPict="0">
                <anchor moveWithCells="1">
                  <from>
                    <xdr:col>17</xdr:col>
                    <xdr:colOff>19050</xdr:colOff>
                    <xdr:row>18</xdr:row>
                    <xdr:rowOff>133350</xdr:rowOff>
                  </from>
                  <to>
                    <xdr:col>18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5" r:id="rId137" name="Check Box 177">
              <controlPr defaultSize="0" autoFill="0" autoLine="0" autoPict="0">
                <anchor moveWithCells="1">
                  <from>
                    <xdr:col>18</xdr:col>
                    <xdr:colOff>19050</xdr:colOff>
                    <xdr:row>18</xdr:row>
                    <xdr:rowOff>133350</xdr:rowOff>
                  </from>
                  <to>
                    <xdr:col>19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138" name="Check Box 141">
              <controlPr defaultSize="0" autoFill="0" autoLine="0" autoPict="0">
                <anchor moveWithCells="1">
                  <from>
                    <xdr:col>19</xdr:col>
                    <xdr:colOff>19050</xdr:colOff>
                    <xdr:row>18</xdr:row>
                    <xdr:rowOff>133350</xdr:rowOff>
                  </from>
                  <to>
                    <xdr:col>20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8" r:id="rId139" name="Check Box 180">
              <controlPr defaultSize="0" autoFill="0" autoLine="0" autoPict="0">
                <anchor moveWithCells="1">
                  <from>
                    <xdr:col>20</xdr:col>
                    <xdr:colOff>19050</xdr:colOff>
                    <xdr:row>18</xdr:row>
                    <xdr:rowOff>133350</xdr:rowOff>
                  </from>
                  <to>
                    <xdr:col>21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Q188"/>
  <sheetViews>
    <sheetView workbookViewId="0">
      <selection activeCell="D4" sqref="D4"/>
    </sheetView>
  </sheetViews>
  <sheetFormatPr baseColWidth="10" defaultColWidth="11.42578125" defaultRowHeight="12.75" x14ac:dyDescent="0.2"/>
  <cols>
    <col min="1" max="1" width="2.7109375" style="588" customWidth="1"/>
    <col min="2" max="2" width="51.28515625" style="76" customWidth="1"/>
    <col min="3" max="3" width="3" style="588" customWidth="1"/>
    <col min="4" max="4" width="14" style="588" customWidth="1"/>
    <col min="5" max="5" width="14" style="588" bestFit="1" customWidth="1"/>
    <col min="6" max="6" width="14" style="715" customWidth="1"/>
    <col min="7" max="7" width="14" style="588" customWidth="1"/>
    <col min="8" max="8" width="41.7109375" style="588" customWidth="1"/>
    <col min="9" max="9" width="51.5703125" style="588" bestFit="1" customWidth="1"/>
    <col min="10" max="10" width="11.42578125" style="588"/>
    <col min="11" max="17" width="0" style="596" hidden="1" customWidth="1"/>
    <col min="18" max="16384" width="11.42578125" style="588"/>
  </cols>
  <sheetData>
    <row r="1" spans="1:17" ht="13.5" thickBot="1" x14ac:dyDescent="0.25">
      <c r="B1" s="349" t="s">
        <v>701</v>
      </c>
      <c r="K1" s="596" t="s">
        <v>636</v>
      </c>
      <c r="O1" s="596" t="s">
        <v>721</v>
      </c>
      <c r="P1" s="596" t="s">
        <v>479</v>
      </c>
      <c r="Q1" s="596" t="s">
        <v>638</v>
      </c>
    </row>
    <row r="2" spans="1:17" x14ac:dyDescent="0.2">
      <c r="B2" s="58" t="s">
        <v>391</v>
      </c>
    </row>
    <row r="3" spans="1:17" ht="13.5" thickBot="1" x14ac:dyDescent="0.25">
      <c r="B3" s="58"/>
      <c r="Q3" s="596" t="s">
        <v>384</v>
      </c>
    </row>
    <row r="4" spans="1:17" ht="13.5" thickBot="1" x14ac:dyDescent="0.25">
      <c r="A4" s="59" t="s">
        <v>360</v>
      </c>
      <c r="B4" s="350" t="s">
        <v>383</v>
      </c>
      <c r="C4" s="585"/>
      <c r="D4" s="351" t="s">
        <v>384</v>
      </c>
      <c r="G4" s="54" t="s">
        <v>385</v>
      </c>
      <c r="H4" s="352" t="s">
        <v>505</v>
      </c>
      <c r="L4" s="596" t="b">
        <f t="array" ref="L4">OR(EXACT(D4,Q3:Q4))</f>
        <v>1</v>
      </c>
      <c r="Q4" s="596" t="s">
        <v>639</v>
      </c>
    </row>
    <row r="5" spans="1:17" x14ac:dyDescent="0.2">
      <c r="A5" s="49"/>
      <c r="B5" s="353" t="s">
        <v>484</v>
      </c>
      <c r="C5" s="64"/>
      <c r="D5" s="573" t="s">
        <v>58</v>
      </c>
      <c r="G5" s="587"/>
      <c r="L5" s="596" t="b">
        <f t="array" ref="L5">OR(EXACT(D5,Q6:Q8))</f>
        <v>1</v>
      </c>
    </row>
    <row r="6" spans="1:17" ht="13.5" thickBot="1" x14ac:dyDescent="0.25">
      <c r="A6" s="49"/>
      <c r="B6" s="354" t="s">
        <v>750</v>
      </c>
      <c r="C6" s="355"/>
      <c r="D6" s="574" t="s">
        <v>637</v>
      </c>
      <c r="G6" s="587"/>
      <c r="L6" s="596" t="b">
        <f ca="1">IF(ISERROR(D6),FALSE,NOT(OR(D6&lt;DATE(2011,1,1),D6="",AND(ISTEXT(D6),D6&lt;&gt;"heute"),AND(D6="heute",HF_PKH!E8&lt;&gt;"aktuell"))))</f>
        <v>1</v>
      </c>
      <c r="Q6" s="596" t="s">
        <v>147</v>
      </c>
    </row>
    <row r="7" spans="1:17" ht="13.5" thickBot="1" x14ac:dyDescent="0.25">
      <c r="B7" s="58"/>
      <c r="Q7" s="596" t="s">
        <v>58</v>
      </c>
    </row>
    <row r="8" spans="1:17" x14ac:dyDescent="0.2">
      <c r="A8" s="356" t="s">
        <v>28</v>
      </c>
      <c r="B8" s="357" t="s">
        <v>492</v>
      </c>
      <c r="C8" s="274"/>
      <c r="D8" s="274"/>
      <c r="E8" s="274"/>
      <c r="F8" s="727"/>
      <c r="G8" s="274" t="s">
        <v>691</v>
      </c>
      <c r="H8" s="274" t="s">
        <v>397</v>
      </c>
      <c r="I8" s="748" t="s">
        <v>723</v>
      </c>
      <c r="Q8" s="596" t="s">
        <v>637</v>
      </c>
    </row>
    <row r="9" spans="1:17" ht="13.5" thickBot="1" x14ac:dyDescent="0.25">
      <c r="A9" s="771" t="s">
        <v>323</v>
      </c>
      <c r="B9" s="358" t="s">
        <v>690</v>
      </c>
      <c r="C9" s="275"/>
      <c r="D9" s="276"/>
      <c r="E9" s="276"/>
      <c r="F9" s="275"/>
      <c r="G9" s="583" t="str">
        <f ca="1">IF(AND(L$6,P9),HF_PKH!E54,"")</f>
        <v/>
      </c>
      <c r="H9" s="359"/>
      <c r="I9" s="279" t="str">
        <f ca="1">"§ 115 Abs. 1 Satz 3 Nr. 1 b) ZPO"&amp;IF($L$6,", "&amp;HF_PKH!$E$5,"")</f>
        <v>§ 115 Abs. 1 Satz 3 Nr. 1 b) ZPO, PKHB 2026</v>
      </c>
      <c r="P9" s="597" t="b">
        <v>0</v>
      </c>
    </row>
    <row r="10" spans="1:17" x14ac:dyDescent="0.2">
      <c r="A10" s="333"/>
      <c r="B10" s="276" t="s">
        <v>426</v>
      </c>
      <c r="C10" s="276"/>
      <c r="D10" s="760"/>
      <c r="E10" s="760"/>
      <c r="F10" s="275"/>
      <c r="G10" s="276"/>
      <c r="H10" s="276"/>
      <c r="I10" s="360"/>
    </row>
    <row r="11" spans="1:17" s="756" customFormat="1" ht="13.5" thickBot="1" x14ac:dyDescent="0.25">
      <c r="A11" s="374"/>
      <c r="B11" s="276" t="s">
        <v>778</v>
      </c>
      <c r="C11" s="276"/>
      <c r="D11" s="804" t="s">
        <v>781</v>
      </c>
      <c r="E11" s="805"/>
      <c r="F11" s="275"/>
      <c r="G11" s="276"/>
      <c r="H11" s="276"/>
      <c r="I11" s="360" t="s">
        <v>843</v>
      </c>
      <c r="K11" s="596"/>
      <c r="L11" s="596" t="b">
        <f t="array" ref="L11">OR(EXACT(D11,Q10:Q15))</f>
        <v>1</v>
      </c>
      <c r="M11" s="596"/>
      <c r="N11" s="596"/>
      <c r="O11" s="596"/>
      <c r="P11" s="596"/>
      <c r="Q11" s="596" t="s">
        <v>781</v>
      </c>
    </row>
    <row r="12" spans="1:17" x14ac:dyDescent="0.2">
      <c r="A12" s="277" t="s">
        <v>324</v>
      </c>
      <c r="B12" s="358" t="s">
        <v>689</v>
      </c>
      <c r="C12" s="810" t="s">
        <v>129</v>
      </c>
      <c r="D12" s="811"/>
      <c r="E12" s="381"/>
      <c r="F12" s="275"/>
      <c r="G12" s="275"/>
      <c r="H12" s="363"/>
      <c r="I12" s="364" t="s">
        <v>74</v>
      </c>
      <c r="K12" s="596" t="b">
        <f t="array" ref="K12">AND(OR(EXACT(C12,Q17:Q19)),NOT(AND(C12&lt;&gt;"ja, in Höhe von",IF(OR(ISERROR(E12),ISTEXT(E12)),FALSE,E12&gt;0))))</f>
        <v>1</v>
      </c>
      <c r="M12" s="596" t="b">
        <f>IF(OR(ISERROR(E12),ISTEXT(E12)),FALSE,NOT(OR(AND(C12="ja, in Höhe von",E12=0),E12&lt;0)))</f>
        <v>1</v>
      </c>
      <c r="Q12" s="596" t="s">
        <v>779</v>
      </c>
    </row>
    <row r="13" spans="1:17" x14ac:dyDescent="0.2">
      <c r="A13" s="277" t="s">
        <v>325</v>
      </c>
      <c r="B13" s="358" t="s">
        <v>687</v>
      </c>
      <c r="C13" s="365"/>
      <c r="D13" s="365"/>
      <c r="E13" s="365"/>
      <c r="F13" s="275"/>
      <c r="G13" s="276"/>
      <c r="H13" s="366"/>
      <c r="I13" s="367"/>
      <c r="Q13" s="596" t="s">
        <v>780</v>
      </c>
    </row>
    <row r="14" spans="1:17" ht="13.5" thickBot="1" x14ac:dyDescent="0.25">
      <c r="A14" s="277" t="s">
        <v>326</v>
      </c>
      <c r="B14" s="358" t="s">
        <v>688</v>
      </c>
      <c r="C14" s="276"/>
      <c r="D14" s="275" t="s">
        <v>493</v>
      </c>
      <c r="E14" s="726" t="s">
        <v>5</v>
      </c>
      <c r="F14" s="275" t="s">
        <v>692</v>
      </c>
      <c r="G14" s="275" t="s">
        <v>691</v>
      </c>
      <c r="H14" s="276"/>
      <c r="I14" s="360"/>
      <c r="Q14" s="596" t="s">
        <v>783</v>
      </c>
    </row>
    <row r="15" spans="1:17" x14ac:dyDescent="0.2">
      <c r="A15" s="288"/>
      <c r="B15" s="358" t="s">
        <v>128</v>
      </c>
      <c r="C15" s="275"/>
      <c r="D15" s="275"/>
      <c r="E15" s="369"/>
      <c r="F15" s="275" t="s">
        <v>487</v>
      </c>
      <c r="G15" s="583" t="str">
        <f ca="1">IF(AND(L$6,K15,M15,P15,E76&lt;&gt;""),HF_PKH!E57,"")</f>
        <v/>
      </c>
      <c r="H15" s="363"/>
      <c r="I15" s="360" t="str">
        <f ca="1">"§ 115 Abs. 1 Satz 3 Nr. 2 a) ZPO"&amp;IF($L$6,", "&amp;HF_PKH!$E$5,"")</f>
        <v>§ 115 Abs. 1 Satz 3 Nr. 2 a) ZPO, PKHB 2026</v>
      </c>
      <c r="K15" s="596" t="b">
        <f>NOT(AND(NOT(P15),AND(M15,IF(ISERROR(E15),FALSE,E15&lt;&gt;""))))</f>
        <v>1</v>
      </c>
      <c r="M15" s="596" t="b">
        <f t="shared" ref="M15:M20" si="0">IF(ISERROR(E15),FALSE,NOT(OR(E15&lt;0,AND(ISTEXT(E15),E15&lt;&gt;"natural"))))</f>
        <v>1</v>
      </c>
      <c r="P15" s="597" t="b">
        <v>0</v>
      </c>
      <c r="Q15" s="596" t="s">
        <v>782</v>
      </c>
    </row>
    <row r="16" spans="1:17" x14ac:dyDescent="0.2">
      <c r="A16" s="333"/>
      <c r="B16" s="370"/>
      <c r="C16" s="275"/>
      <c r="D16" s="371"/>
      <c r="E16" s="260"/>
      <c r="F16" s="728"/>
      <c r="G16" s="583" t="str">
        <f ca="1">IF(AND(L$6,K16:N16,P16),HF_PKH!E60,"")</f>
        <v/>
      </c>
      <c r="H16" s="379"/>
      <c r="I16" s="360" t="str">
        <f ca="1">"§ 115 Abs. 1 Satz 3 Nr. 2 b) ZPO"&amp;IF($L$6,", "&amp;HF_PKH!$E$5,"")</f>
        <v>§ 115 Abs. 1 Satz 3 Nr. 2 b) ZPO, PKHB 2026</v>
      </c>
      <c r="K16" s="596" t="b">
        <f ca="1">NOT(AND(NOT(P16),OR(AND(L16,IF(ISERROR(D16),FALSE,D16&lt;&gt;"")),AND(M16,IF(ISERROR(E16),FALSE,E16&lt;&gt;"")))))</f>
        <v>1</v>
      </c>
      <c r="L16" s="596" t="b">
        <f ca="1">IF(ISERROR(D16),FALSE,NOT(OR(AND(NOT(ISTEXT(D16)),D16&gt;HF_PKH!E$1),D16&lt;0,AND(D16=0,D16&lt;&gt;""),AND(ISTEXT(D16),D16&lt;&gt;"keine Angabe"),AND(P16,D16=""))))</f>
        <v>1</v>
      </c>
      <c r="M16" s="596" t="b">
        <f t="shared" si="0"/>
        <v>1</v>
      </c>
      <c r="N16" s="596" t="b">
        <f>IF(OR(ISERROR(F16),ISTEXT(F16)),FALSE,NOT(OR(F16&lt;0)))</f>
        <v>1</v>
      </c>
      <c r="P16" s="597" t="b">
        <v>0</v>
      </c>
    </row>
    <row r="17" spans="1:17" x14ac:dyDescent="0.2">
      <c r="A17" s="333"/>
      <c r="B17" s="372"/>
      <c r="C17" s="275"/>
      <c r="D17" s="373"/>
      <c r="E17" s="260"/>
      <c r="F17" s="257"/>
      <c r="G17" s="583" t="str">
        <f ca="1">IF(AND(L$6,K17:N17,P17),HF_PKH!E61,"")</f>
        <v/>
      </c>
      <c r="H17" s="379"/>
      <c r="I17" s="360"/>
      <c r="K17" s="596" t="b">
        <f ca="1">NOT(AND(NOT(P17),OR(AND(L17,IF(ISERROR(D17),FALSE,D17&lt;&gt;"")),AND(M17,IF(ISERROR(E17),FALSE,E17&lt;&gt;"")))))</f>
        <v>1</v>
      </c>
      <c r="L17" s="596" t="b">
        <f ca="1">IF(ISERROR(D17),FALSE,NOT(OR(AND(NOT(ISTEXT(D17)),D17&gt;HF_PKH!E$1),D17&lt;0,AND(D17=0,D17&lt;&gt;""),AND(ISTEXT(D17),D17&lt;&gt;"keine Angabe"),AND(P17,D17=""))))</f>
        <v>1</v>
      </c>
      <c r="M17" s="596" t="b">
        <f t="shared" si="0"/>
        <v>1</v>
      </c>
      <c r="N17" s="596" t="b">
        <f>IF(OR(ISERROR(F17),ISTEXT(F17)),FALSE,NOT(OR(F17&lt;0)))</f>
        <v>1</v>
      </c>
      <c r="P17" s="597" t="b">
        <v>0</v>
      </c>
      <c r="Q17" s="596" t="s">
        <v>129</v>
      </c>
    </row>
    <row r="18" spans="1:17" x14ac:dyDescent="0.2">
      <c r="A18" s="333"/>
      <c r="B18" s="372"/>
      <c r="C18" s="275"/>
      <c r="D18" s="373"/>
      <c r="E18" s="260"/>
      <c r="F18" s="257"/>
      <c r="G18" s="583" t="str">
        <f ca="1">IF(AND(L$6,K18:N18,P18),HF_PKH!E62,"")</f>
        <v/>
      </c>
      <c r="H18" s="379"/>
      <c r="I18" s="360"/>
      <c r="K18" s="596" t="b">
        <f ca="1">NOT(AND(NOT(P18),OR(AND(L18,IF(ISERROR(D18),FALSE,D18&lt;&gt;"")),AND(M18,IF(ISERROR(E18),FALSE,E18&lt;&gt;"")))))</f>
        <v>1</v>
      </c>
      <c r="L18" s="596" t="b">
        <f ca="1">IF(ISERROR(D18),FALSE,NOT(OR(AND(NOT(ISTEXT(D18)),D18&gt;HF_PKH!E$1),D18&lt;0,AND(D18=0,D18&lt;&gt;""),AND(ISTEXT(D18),D18&lt;&gt;"keine Angabe"),AND(P18,D18=""))))</f>
        <v>1</v>
      </c>
      <c r="M18" s="596" t="b">
        <f t="shared" si="0"/>
        <v>1</v>
      </c>
      <c r="N18" s="596" t="b">
        <f>IF(OR(ISERROR(F18),ISTEXT(F18)),FALSE,NOT(OR(F18&lt;0)))</f>
        <v>1</v>
      </c>
      <c r="P18" s="597" t="b">
        <v>0</v>
      </c>
      <c r="Q18" s="596" t="s">
        <v>640</v>
      </c>
    </row>
    <row r="19" spans="1:17" x14ac:dyDescent="0.2">
      <c r="A19" s="333"/>
      <c r="B19" s="372"/>
      <c r="C19" s="275"/>
      <c r="D19" s="373"/>
      <c r="E19" s="260"/>
      <c r="F19" s="257"/>
      <c r="G19" s="583" t="str">
        <f ca="1">IF(AND(L$6,K19:N19,P19),HF_PKH!E63,"")</f>
        <v/>
      </c>
      <c r="H19" s="379"/>
      <c r="I19" s="360"/>
      <c r="K19" s="596" t="b">
        <f ca="1">NOT(AND(NOT(P19),OR(AND(L19,IF(ISERROR(D19),FALSE,D19&lt;&gt;"")),AND(M19,IF(ISERROR(E19),FALSE,E19&lt;&gt;"")))))</f>
        <v>1</v>
      </c>
      <c r="L19" s="596" t="b">
        <f ca="1">IF(ISERROR(D19),FALSE,NOT(OR(AND(NOT(ISTEXT(D19)),D19&gt;HF_PKH!E$1),D19&lt;0,AND(D19=0,D19&lt;&gt;""),AND(ISTEXT(D19),D19&lt;&gt;"keine Angabe"),AND(P19,D19=""))))</f>
        <v>1</v>
      </c>
      <c r="M19" s="596" t="b">
        <f t="shared" si="0"/>
        <v>1</v>
      </c>
      <c r="N19" s="596" t="b">
        <f>IF(OR(ISERROR(F19),ISTEXT(F19)),FALSE,NOT(OR(F19&lt;0)))</f>
        <v>1</v>
      </c>
      <c r="P19" s="597" t="b">
        <v>0</v>
      </c>
      <c r="Q19" s="596" t="s">
        <v>641</v>
      </c>
    </row>
    <row r="20" spans="1:17" ht="13.5" thickBot="1" x14ac:dyDescent="0.25">
      <c r="A20" s="374"/>
      <c r="B20" s="375"/>
      <c r="C20" s="275"/>
      <c r="D20" s="376"/>
      <c r="E20" s="377"/>
      <c r="F20" s="381"/>
      <c r="G20" s="583" t="str">
        <f ca="1">IF(AND(L$6,K20:N20,P20),HF_PKH!E64,"")</f>
        <v/>
      </c>
      <c r="H20" s="366"/>
      <c r="I20" s="360"/>
      <c r="K20" s="596" t="b">
        <f ca="1">NOT(AND(NOT(P20),OR(AND(L20,IF(ISERROR(D20),FALSE,D20&lt;&gt;"")),AND(M20,IF(ISERROR(E20),FALSE,E20&lt;&gt;"")))))</f>
        <v>1</v>
      </c>
      <c r="L20" s="596" t="b">
        <f ca="1">IF(ISERROR(D20),FALSE,NOT(OR(AND(NOT(ISTEXT(D20)),D20&gt;HF_PKH!E$1),D20&lt;0,AND(D20=0,D20&lt;&gt;""),AND(ISTEXT(D20),D20&lt;&gt;"keine Angabe"),AND(P20,D20=""))))</f>
        <v>1</v>
      </c>
      <c r="M20" s="596" t="b">
        <f t="shared" si="0"/>
        <v>1</v>
      </c>
      <c r="N20" s="596" t="b">
        <f>IF(OR(ISERROR(F20),ISTEXT(F20)),FALSE,NOT(OR(F20&lt;0)))</f>
        <v>1</v>
      </c>
      <c r="P20" s="597" t="b">
        <v>0</v>
      </c>
    </row>
    <row r="21" spans="1:17" ht="13.5" thickBot="1" x14ac:dyDescent="0.25">
      <c r="A21" s="277" t="s">
        <v>330</v>
      </c>
      <c r="B21" s="358" t="s">
        <v>84</v>
      </c>
      <c r="C21" s="276"/>
      <c r="D21" s="275" t="s">
        <v>341</v>
      </c>
      <c r="E21" s="275" t="s">
        <v>77</v>
      </c>
      <c r="F21" s="275"/>
      <c r="G21" s="276"/>
      <c r="H21" s="276"/>
      <c r="I21" s="360" t="s">
        <v>342</v>
      </c>
      <c r="Q21" s="596" t="s">
        <v>684</v>
      </c>
    </row>
    <row r="22" spans="1:17" x14ac:dyDescent="0.2">
      <c r="A22" s="378"/>
      <c r="B22" s="358" t="s">
        <v>343</v>
      </c>
      <c r="C22" s="276"/>
      <c r="D22" s="759"/>
      <c r="E22" s="254"/>
      <c r="F22" s="275"/>
      <c r="G22" s="276"/>
      <c r="H22" s="363"/>
      <c r="I22" s="360"/>
      <c r="L22" s="596" t="b">
        <f>IF(OR(ISERROR(D22),ISTEXT(D22)),FALSE,NOT(D22&lt;0))</f>
        <v>1</v>
      </c>
      <c r="M22" s="596" t="b">
        <f>IF(OR(ISERROR(E22),ISTEXT(E22)),FALSE,NOT(E22&lt;0))</f>
        <v>1</v>
      </c>
      <c r="Q22" s="596" t="s">
        <v>685</v>
      </c>
    </row>
    <row r="23" spans="1:17" x14ac:dyDescent="0.2">
      <c r="A23" s="333"/>
      <c r="B23" s="358" t="s">
        <v>344</v>
      </c>
      <c r="C23" s="276"/>
      <c r="D23" s="259"/>
      <c r="E23" s="257"/>
      <c r="F23" s="275"/>
      <c r="G23" s="276"/>
      <c r="H23" s="379"/>
      <c r="I23" s="360"/>
      <c r="L23" s="596" t="b">
        <f t="shared" ref="L23:L35" si="1">IF(OR(ISERROR(D23),ISTEXT(D23)),FALSE,NOT(D23&lt;0))</f>
        <v>1</v>
      </c>
      <c r="M23" s="596" t="b">
        <f t="shared" ref="M23:M35" si="2">IF(OR(ISERROR(E23),ISTEXT(E23)),FALSE,NOT(E23&lt;0))</f>
        <v>1</v>
      </c>
      <c r="Q23" s="596" t="s">
        <v>686</v>
      </c>
    </row>
    <row r="24" spans="1:17" x14ac:dyDescent="0.2">
      <c r="A24" s="333"/>
      <c r="B24" s="358" t="s">
        <v>347</v>
      </c>
      <c r="C24" s="276"/>
      <c r="D24" s="259"/>
      <c r="E24" s="257"/>
      <c r="F24" s="275"/>
      <c r="G24" s="276"/>
      <c r="H24" s="379"/>
      <c r="I24" s="360"/>
      <c r="L24" s="596" t="b">
        <f t="shared" si="1"/>
        <v>1</v>
      </c>
      <c r="M24" s="596" t="b">
        <f t="shared" si="2"/>
        <v>1</v>
      </c>
    </row>
    <row r="25" spans="1:17" x14ac:dyDescent="0.2">
      <c r="A25" s="333"/>
      <c r="B25" s="358" t="s">
        <v>348</v>
      </c>
      <c r="C25" s="276"/>
      <c r="D25" s="259"/>
      <c r="E25" s="257"/>
      <c r="F25" s="275"/>
      <c r="G25" s="276"/>
      <c r="H25" s="379"/>
      <c r="I25" s="360"/>
      <c r="L25" s="596" t="b">
        <f t="shared" si="1"/>
        <v>1</v>
      </c>
      <c r="M25" s="596" t="b">
        <f t="shared" si="2"/>
        <v>1</v>
      </c>
    </row>
    <row r="26" spans="1:17" x14ac:dyDescent="0.2">
      <c r="A26" s="333"/>
      <c r="B26" s="358" t="s">
        <v>514</v>
      </c>
      <c r="C26" s="276"/>
      <c r="D26" s="259"/>
      <c r="E26" s="257"/>
      <c r="F26" s="275"/>
      <c r="G26" s="276"/>
      <c r="H26" s="379"/>
      <c r="I26" s="360"/>
      <c r="L26" s="596" t="b">
        <f t="shared" si="1"/>
        <v>1</v>
      </c>
      <c r="M26" s="596" t="b">
        <f t="shared" si="2"/>
        <v>1</v>
      </c>
    </row>
    <row r="27" spans="1:17" x14ac:dyDescent="0.2">
      <c r="A27" s="333"/>
      <c r="B27" s="358" t="s">
        <v>349</v>
      </c>
      <c r="C27" s="276"/>
      <c r="D27" s="259"/>
      <c r="E27" s="257"/>
      <c r="F27" s="275"/>
      <c r="G27" s="276"/>
      <c r="H27" s="379"/>
      <c r="I27" s="360"/>
      <c r="L27" s="596" t="b">
        <f t="shared" si="1"/>
        <v>1</v>
      </c>
      <c r="M27" s="596" t="b">
        <f t="shared" si="2"/>
        <v>1</v>
      </c>
    </row>
    <row r="28" spans="1:17" x14ac:dyDescent="0.2">
      <c r="A28" s="333"/>
      <c r="B28" s="358" t="s">
        <v>80</v>
      </c>
      <c r="C28" s="276"/>
      <c r="D28" s="259"/>
      <c r="E28" s="257"/>
      <c r="F28" s="275"/>
      <c r="G28" s="276"/>
      <c r="H28" s="379"/>
      <c r="I28" s="360"/>
      <c r="L28" s="596" t="b">
        <f t="shared" si="1"/>
        <v>1</v>
      </c>
      <c r="M28" s="596" t="b">
        <f t="shared" si="2"/>
        <v>1</v>
      </c>
    </row>
    <row r="29" spans="1:17" x14ac:dyDescent="0.2">
      <c r="A29" s="333"/>
      <c r="B29" s="358" t="s">
        <v>515</v>
      </c>
      <c r="C29" s="276"/>
      <c r="D29" s="259"/>
      <c r="E29" s="257"/>
      <c r="F29" s="275"/>
      <c r="G29" s="276"/>
      <c r="H29" s="379"/>
      <c r="I29" s="360"/>
      <c r="L29" s="596" t="b">
        <f t="shared" si="1"/>
        <v>1</v>
      </c>
      <c r="M29" s="596" t="b">
        <f t="shared" si="2"/>
        <v>1</v>
      </c>
    </row>
    <row r="30" spans="1:17" x14ac:dyDescent="0.2">
      <c r="A30" s="333"/>
      <c r="B30" s="358" t="s">
        <v>516</v>
      </c>
      <c r="C30" s="276"/>
      <c r="D30" s="259"/>
      <c r="E30" s="257"/>
      <c r="F30" s="275"/>
      <c r="G30" s="276"/>
      <c r="H30" s="379"/>
      <c r="I30" s="360"/>
      <c r="L30" s="596" t="b">
        <f t="shared" si="1"/>
        <v>1</v>
      </c>
      <c r="M30" s="596" t="b">
        <f t="shared" si="2"/>
        <v>1</v>
      </c>
    </row>
    <row r="31" spans="1:17" x14ac:dyDescent="0.2">
      <c r="A31" s="333"/>
      <c r="B31" s="358" t="s">
        <v>81</v>
      </c>
      <c r="C31" s="276"/>
      <c r="D31" s="259"/>
      <c r="E31" s="257"/>
      <c r="F31" s="275"/>
      <c r="G31" s="276"/>
      <c r="H31" s="379"/>
      <c r="I31" s="360"/>
      <c r="L31" s="596" t="b">
        <f t="shared" si="1"/>
        <v>1</v>
      </c>
      <c r="M31" s="596" t="b">
        <f t="shared" si="2"/>
        <v>1</v>
      </c>
    </row>
    <row r="32" spans="1:17" x14ac:dyDescent="0.2">
      <c r="A32" s="333"/>
      <c r="B32" s="358" t="s">
        <v>82</v>
      </c>
      <c r="C32" s="276"/>
      <c r="D32" s="259"/>
      <c r="E32" s="257"/>
      <c r="F32" s="275"/>
      <c r="G32" s="276"/>
      <c r="H32" s="379"/>
      <c r="I32" s="360"/>
      <c r="L32" s="596" t="b">
        <f t="shared" si="1"/>
        <v>1</v>
      </c>
      <c r="M32" s="596" t="b">
        <f t="shared" si="2"/>
        <v>1</v>
      </c>
    </row>
    <row r="33" spans="1:13" x14ac:dyDescent="0.2">
      <c r="A33" s="333"/>
      <c r="B33" s="358" t="s">
        <v>83</v>
      </c>
      <c r="C33" s="276"/>
      <c r="D33" s="259"/>
      <c r="E33" s="257"/>
      <c r="F33" s="275"/>
      <c r="G33" s="276"/>
      <c r="H33" s="379"/>
      <c r="I33" s="360"/>
      <c r="L33" s="596" t="b">
        <f t="shared" si="1"/>
        <v>1</v>
      </c>
      <c r="M33" s="596" t="b">
        <f t="shared" si="2"/>
        <v>1</v>
      </c>
    </row>
    <row r="34" spans="1:13" x14ac:dyDescent="0.2">
      <c r="A34" s="333"/>
      <c r="B34" s="370"/>
      <c r="C34" s="276"/>
      <c r="D34" s="259"/>
      <c r="E34" s="257"/>
      <c r="F34" s="275"/>
      <c r="G34" s="276"/>
      <c r="H34" s="379"/>
      <c r="I34" s="360"/>
      <c r="L34" s="596" t="b">
        <f t="shared" si="1"/>
        <v>1</v>
      </c>
      <c r="M34" s="596" t="b">
        <f t="shared" si="2"/>
        <v>1</v>
      </c>
    </row>
    <row r="35" spans="1:13" ht="13.5" thickBot="1" x14ac:dyDescent="0.25">
      <c r="A35" s="374"/>
      <c r="B35" s="375"/>
      <c r="C35" s="276"/>
      <c r="D35" s="380"/>
      <c r="E35" s="381"/>
      <c r="F35" s="275"/>
      <c r="G35" s="276"/>
      <c r="H35" s="366"/>
      <c r="I35" s="360"/>
      <c r="L35" s="596" t="b">
        <f t="shared" si="1"/>
        <v>1</v>
      </c>
      <c r="M35" s="596" t="b">
        <f t="shared" si="2"/>
        <v>1</v>
      </c>
    </row>
    <row r="36" spans="1:13" ht="13.5" thickBot="1" x14ac:dyDescent="0.25">
      <c r="A36" s="277" t="s">
        <v>350</v>
      </c>
      <c r="B36" s="358" t="s">
        <v>351</v>
      </c>
      <c r="C36" s="276"/>
      <c r="D36" s="275" t="s">
        <v>341</v>
      </c>
      <c r="E36" s="275" t="s">
        <v>77</v>
      </c>
      <c r="F36" s="275"/>
      <c r="G36" s="276"/>
      <c r="H36" s="276"/>
      <c r="I36" s="360" t="s">
        <v>352</v>
      </c>
    </row>
    <row r="37" spans="1:13" x14ac:dyDescent="0.2">
      <c r="A37" s="378"/>
      <c r="B37" s="358" t="s">
        <v>517</v>
      </c>
      <c r="C37" s="276"/>
      <c r="D37" s="255"/>
      <c r="E37" s="254"/>
      <c r="F37" s="275"/>
      <c r="G37" s="276"/>
      <c r="H37" s="363"/>
      <c r="I37" s="360"/>
      <c r="L37" s="596" t="b">
        <f t="shared" ref="L37:L41" si="3">IF(OR(ISERROR(D37),ISTEXT(D37)),FALSE,NOT(D37&lt;0))</f>
        <v>1</v>
      </c>
      <c r="M37" s="596" t="b">
        <f t="shared" ref="M37:M41" si="4">IF(OR(ISERROR(E37),ISTEXT(E37)),FALSE,NOT(E37&lt;0))</f>
        <v>1</v>
      </c>
    </row>
    <row r="38" spans="1:13" x14ac:dyDescent="0.2">
      <c r="A38" s="333"/>
      <c r="B38" s="358" t="s">
        <v>353</v>
      </c>
      <c r="C38" s="276"/>
      <c r="D38" s="259"/>
      <c r="E38" s="257"/>
      <c r="F38" s="275"/>
      <c r="G38" s="276"/>
      <c r="H38" s="379"/>
      <c r="I38" s="360"/>
      <c r="L38" s="596" t="b">
        <f t="shared" si="3"/>
        <v>1</v>
      </c>
      <c r="M38" s="596" t="b">
        <f t="shared" si="4"/>
        <v>1</v>
      </c>
    </row>
    <row r="39" spans="1:13" x14ac:dyDescent="0.2">
      <c r="A39" s="333"/>
      <c r="B39" s="358" t="s">
        <v>354</v>
      </c>
      <c r="C39" s="276"/>
      <c r="D39" s="259"/>
      <c r="E39" s="257"/>
      <c r="F39" s="275"/>
      <c r="G39" s="276"/>
      <c r="H39" s="379"/>
      <c r="I39" s="360"/>
      <c r="L39" s="596" t="b">
        <f t="shared" si="3"/>
        <v>1</v>
      </c>
      <c r="M39" s="596" t="b">
        <f t="shared" si="4"/>
        <v>1</v>
      </c>
    </row>
    <row r="40" spans="1:13" x14ac:dyDescent="0.2">
      <c r="A40" s="333"/>
      <c r="B40" s="358" t="s">
        <v>85</v>
      </c>
      <c r="C40" s="276"/>
      <c r="D40" s="259"/>
      <c r="E40" s="257"/>
      <c r="F40" s="275"/>
      <c r="G40" s="276"/>
      <c r="H40" s="379"/>
      <c r="I40" s="360"/>
      <c r="L40" s="596" t="b">
        <f t="shared" si="3"/>
        <v>1</v>
      </c>
      <c r="M40" s="596" t="b">
        <f t="shared" si="4"/>
        <v>1</v>
      </c>
    </row>
    <row r="41" spans="1:13" ht="13.5" thickBot="1" x14ac:dyDescent="0.25">
      <c r="A41" s="374"/>
      <c r="B41" s="358" t="s">
        <v>86</v>
      </c>
      <c r="C41" s="276"/>
      <c r="D41" s="380"/>
      <c r="E41" s="381"/>
      <c r="F41" s="275"/>
      <c r="G41" s="276"/>
      <c r="H41" s="366"/>
      <c r="I41" s="360"/>
      <c r="L41" s="596" t="b">
        <f t="shared" si="3"/>
        <v>1</v>
      </c>
      <c r="M41" s="596" t="b">
        <f t="shared" si="4"/>
        <v>1</v>
      </c>
    </row>
    <row r="42" spans="1:13" ht="13.5" thickBot="1" x14ac:dyDescent="0.25">
      <c r="A42" s="277" t="s">
        <v>355</v>
      </c>
      <c r="B42" s="358" t="s">
        <v>494</v>
      </c>
      <c r="C42" s="276"/>
      <c r="D42" s="276" t="s">
        <v>341</v>
      </c>
      <c r="E42" s="276" t="s">
        <v>77</v>
      </c>
      <c r="F42" s="275"/>
      <c r="G42" s="276"/>
      <c r="H42" s="276"/>
      <c r="I42" s="360" t="s">
        <v>428</v>
      </c>
    </row>
    <row r="43" spans="1:13" x14ac:dyDescent="0.2">
      <c r="A43" s="288"/>
      <c r="B43" s="358" t="s">
        <v>495</v>
      </c>
      <c r="C43" s="276"/>
      <c r="D43" s="622">
        <f ca="1">HF_PKH!E75</f>
        <v>10000</v>
      </c>
      <c r="E43" s="276"/>
      <c r="F43" s="275"/>
      <c r="G43" s="276"/>
      <c r="H43" s="276"/>
      <c r="I43" s="360" t="s">
        <v>747</v>
      </c>
    </row>
    <row r="44" spans="1:13" x14ac:dyDescent="0.2">
      <c r="A44" s="161"/>
      <c r="B44" s="368" t="s">
        <v>393</v>
      </c>
      <c r="C44" s="276"/>
      <c r="D44" s="369"/>
      <c r="E44" s="276"/>
      <c r="F44" s="275"/>
      <c r="G44" s="276"/>
      <c r="H44" s="363"/>
      <c r="I44" s="360"/>
      <c r="L44" s="596" t="b">
        <f t="shared" ref="L44:L49" si="5">IF(OR(ISERROR(D44),ISTEXT(D44)),FALSE,NOT(D44&lt;0))</f>
        <v>1</v>
      </c>
    </row>
    <row r="45" spans="1:13" x14ac:dyDescent="0.2">
      <c r="A45" s="161"/>
      <c r="B45" s="358" t="s">
        <v>87</v>
      </c>
      <c r="C45" s="276"/>
      <c r="D45" s="383"/>
      <c r="E45" s="276"/>
      <c r="F45" s="275"/>
      <c r="G45" s="276"/>
      <c r="H45" s="379"/>
      <c r="I45" s="360"/>
      <c r="L45" s="596" t="b">
        <f t="shared" si="5"/>
        <v>1</v>
      </c>
    </row>
    <row r="46" spans="1:13" x14ac:dyDescent="0.2">
      <c r="A46" s="161"/>
      <c r="B46" s="358" t="s">
        <v>394</v>
      </c>
      <c r="C46" s="276"/>
      <c r="D46" s="383"/>
      <c r="E46" s="276"/>
      <c r="F46" s="275"/>
      <c r="G46" s="276"/>
      <c r="H46" s="379"/>
      <c r="I46" s="360"/>
      <c r="L46" s="596" t="b">
        <f t="shared" si="5"/>
        <v>1</v>
      </c>
    </row>
    <row r="47" spans="1:13" x14ac:dyDescent="0.2">
      <c r="A47" s="161"/>
      <c r="B47" s="358" t="s">
        <v>88</v>
      </c>
      <c r="C47" s="276"/>
      <c r="D47" s="383"/>
      <c r="E47" s="276"/>
      <c r="F47" s="275"/>
      <c r="G47" s="276"/>
      <c r="H47" s="379"/>
      <c r="I47" s="360"/>
      <c r="L47" s="596" t="b">
        <f t="shared" si="5"/>
        <v>1</v>
      </c>
    </row>
    <row r="48" spans="1:13" x14ac:dyDescent="0.2">
      <c r="A48" s="161"/>
      <c r="B48" s="358" t="s">
        <v>89</v>
      </c>
      <c r="C48" s="276"/>
      <c r="D48" s="383"/>
      <c r="E48" s="276"/>
      <c r="F48" s="275"/>
      <c r="G48" s="276"/>
      <c r="H48" s="379"/>
      <c r="I48" s="360"/>
      <c r="L48" s="596" t="b">
        <f t="shared" si="5"/>
        <v>1</v>
      </c>
    </row>
    <row r="49" spans="1:17" ht="13.5" thickBot="1" x14ac:dyDescent="0.25">
      <c r="A49" s="161"/>
      <c r="B49" s="358" t="s">
        <v>395</v>
      </c>
      <c r="C49" s="276"/>
      <c r="D49" s="384"/>
      <c r="E49" s="276"/>
      <c r="F49" s="275"/>
      <c r="G49" s="276"/>
      <c r="H49" s="366"/>
      <c r="I49" s="360"/>
      <c r="L49" s="596" t="b">
        <f t="shared" si="5"/>
        <v>1</v>
      </c>
    </row>
    <row r="50" spans="1:17" ht="13.5" thickBot="1" x14ac:dyDescent="0.25">
      <c r="A50" s="385" t="s">
        <v>356</v>
      </c>
      <c r="B50" s="358" t="s">
        <v>683</v>
      </c>
      <c r="C50" s="276"/>
      <c r="D50" s="275" t="s">
        <v>341</v>
      </c>
      <c r="E50" s="275" t="s">
        <v>77</v>
      </c>
      <c r="F50" s="275"/>
      <c r="G50" s="276"/>
      <c r="H50" s="276"/>
      <c r="I50" s="360" t="s">
        <v>358</v>
      </c>
    </row>
    <row r="51" spans="1:17" ht="13.5" thickBot="1" x14ac:dyDescent="0.25">
      <c r="A51" s="361"/>
      <c r="B51" s="358" t="s">
        <v>359</v>
      </c>
      <c r="C51" s="276"/>
      <c r="D51" s="386"/>
      <c r="E51" s="362"/>
      <c r="F51" s="275"/>
      <c r="G51" s="276"/>
      <c r="H51" s="359"/>
      <c r="I51" s="360"/>
      <c r="L51" s="596" t="b">
        <f t="shared" ref="L51:M51" si="6">IF(OR(ISERROR(D51),ISTEXT(D51)),FALSE,NOT(D51&lt;0))</f>
        <v>1</v>
      </c>
      <c r="M51" s="596" t="b">
        <f t="shared" si="6"/>
        <v>1</v>
      </c>
    </row>
    <row r="52" spans="1:17" ht="13.5" thickBot="1" x14ac:dyDescent="0.25">
      <c r="A52" s="277" t="s">
        <v>360</v>
      </c>
      <c r="B52" s="358" t="s">
        <v>361</v>
      </c>
      <c r="C52" s="276"/>
      <c r="D52" s="275" t="s">
        <v>341</v>
      </c>
      <c r="E52" s="275" t="s">
        <v>77</v>
      </c>
      <c r="F52" s="275"/>
      <c r="G52" s="776"/>
      <c r="H52" s="275"/>
      <c r="I52" s="364" t="str">
        <f ca="1">IF($L$5,IF(HF_PKH!$AE$1=HF_PKH!$AE$5,"§ 115 Abs. 1 Satz 3 Nr. 4, 120 Abs. 1 Satz 2 ZPO",IF(HF_PKH!$AE$1=HF_PKH!$AE$45,"§ 115 Abs. 1 Satz 3 Nr. 5, 120 Abs. 1 Satz 2 ZPO","")),"")</f>
        <v>§ 115 Abs. 1 Satz 3 Nr. 5, 120 Abs. 1 Satz 2 ZPO</v>
      </c>
    </row>
    <row r="53" spans="1:17" x14ac:dyDescent="0.2">
      <c r="A53" s="288"/>
      <c r="B53" s="370"/>
      <c r="C53" s="276"/>
      <c r="D53" s="255"/>
      <c r="E53" s="254"/>
      <c r="F53" s="275"/>
      <c r="G53" s="276"/>
      <c r="H53" s="363"/>
      <c r="I53" s="364"/>
      <c r="L53" s="596" t="b">
        <f t="shared" ref="L53:L55" si="7">IF(OR(ISERROR(D53),ISTEXT(D53)),FALSE,NOT(D53&lt;0))</f>
        <v>1</v>
      </c>
      <c r="M53" s="596" t="b">
        <f t="shared" ref="M53:M55" si="8">IF(OR(ISERROR(E53),ISTEXT(E53)),FALSE,NOT(E53&lt;0))</f>
        <v>1</v>
      </c>
    </row>
    <row r="54" spans="1:17" x14ac:dyDescent="0.2">
      <c r="A54" s="161"/>
      <c r="B54" s="372"/>
      <c r="C54" s="276"/>
      <c r="D54" s="259"/>
      <c r="E54" s="257"/>
      <c r="F54" s="275"/>
      <c r="G54" s="276"/>
      <c r="H54" s="379"/>
      <c r="I54" s="364"/>
      <c r="L54" s="596" t="b">
        <f t="shared" si="7"/>
        <v>1</v>
      </c>
      <c r="M54" s="596" t="b">
        <f t="shared" si="8"/>
        <v>1</v>
      </c>
    </row>
    <row r="55" spans="1:17" ht="13.5" thickBot="1" x14ac:dyDescent="0.25">
      <c r="A55" s="238"/>
      <c r="B55" s="375"/>
      <c r="C55" s="276"/>
      <c r="D55" s="380"/>
      <c r="E55" s="381"/>
      <c r="F55" s="275"/>
      <c r="G55" s="276"/>
      <c r="H55" s="366"/>
      <c r="I55" s="364"/>
      <c r="L55" s="596" t="b">
        <f t="shared" si="7"/>
        <v>1</v>
      </c>
      <c r="M55" s="596" t="b">
        <f t="shared" si="8"/>
        <v>1</v>
      </c>
    </row>
    <row r="56" spans="1:17" ht="13.5" thickBot="1" x14ac:dyDescent="0.25">
      <c r="A56" s="277" t="s">
        <v>362</v>
      </c>
      <c r="B56" s="358" t="s">
        <v>363</v>
      </c>
      <c r="C56" s="276"/>
      <c r="D56" s="275" t="s">
        <v>341</v>
      </c>
      <c r="E56" s="275" t="s">
        <v>77</v>
      </c>
      <c r="F56" s="275"/>
      <c r="G56" s="276"/>
      <c r="H56" s="276"/>
      <c r="I56" s="364" t="str">
        <f ca="1">IF($L$5,IF(HF_PKH!$AE$1=HF_PKH!$AE$5,"§ 115 Abs. 1 Satz 3 Nr. 4, 120 Abs. 1 Satz 2 ZPO",IF(HF_PKH!$AE$1=HF_PKH!$AE$45,"§ 115 Abs. 1 Satz 3 Nr. 5, 120 Abs. 1 Satz 2 ZPO","")),"")</f>
        <v>§ 115 Abs. 1 Satz 3 Nr. 5, 120 Abs. 1 Satz 2 ZPO</v>
      </c>
    </row>
    <row r="57" spans="1:17" x14ac:dyDescent="0.2">
      <c r="A57" s="288"/>
      <c r="B57" s="370"/>
      <c r="C57" s="276"/>
      <c r="D57" s="255"/>
      <c r="E57" s="254"/>
      <c r="F57" s="275"/>
      <c r="G57" s="276"/>
      <c r="H57" s="363"/>
      <c r="I57" s="387"/>
      <c r="L57" s="596" t="b">
        <f t="shared" ref="L57:L58" si="9">IF(OR(ISERROR(D57),ISTEXT(D57)),FALSE,NOT(D57&lt;0))</f>
        <v>1</v>
      </c>
      <c r="M57" s="596" t="b">
        <f t="shared" ref="M57:M58" si="10">IF(OR(ISERROR(E57),ISTEXT(E57)),FALSE,NOT(E57&lt;0))</f>
        <v>1</v>
      </c>
    </row>
    <row r="58" spans="1:17" x14ac:dyDescent="0.2">
      <c r="A58" s="161"/>
      <c r="B58" s="375"/>
      <c r="C58" s="276"/>
      <c r="D58" s="380"/>
      <c r="E58" s="381"/>
      <c r="F58" s="275"/>
      <c r="G58" s="276"/>
      <c r="H58" s="366"/>
      <c r="I58" s="387"/>
      <c r="L58" s="596" t="b">
        <f t="shared" si="9"/>
        <v>1</v>
      </c>
      <c r="M58" s="596" t="b">
        <f t="shared" si="10"/>
        <v>1</v>
      </c>
    </row>
    <row r="59" spans="1:17" s="708" customFormat="1" x14ac:dyDescent="0.2">
      <c r="A59" s="50"/>
      <c r="B59" s="722" t="s">
        <v>682</v>
      </c>
      <c r="C59" s="276"/>
      <c r="D59" s="275" t="s">
        <v>341</v>
      </c>
      <c r="E59" s="275" t="s">
        <v>77</v>
      </c>
      <c r="F59" s="275"/>
      <c r="G59" s="275"/>
      <c r="H59" s="276"/>
      <c r="I59" s="364" t="str">
        <f ca="1">IF($L$5,IF(HF_PKH!$AE$1=HF_PKH!$AE$5,"§ 21 SGB II, § 30 SGB XII",IF(HF_PKH!$AE$1=HF_PKH!$AE$45,"§ 115 Abs. 1 Satz 3 Nr. 4, § 21 SGB II, § 30 SGB XII","")),"")</f>
        <v>§ 115 Abs. 1 Satz 3 Nr. 4, § 21 SGB II, § 30 SGB XII</v>
      </c>
      <c r="K59" s="596"/>
      <c r="L59" s="596"/>
      <c r="M59" s="596"/>
      <c r="N59" s="596"/>
      <c r="O59" s="596" t="b">
        <f ca="1">HF_PKH!$AE$1=HF_PKH!$AE$5</f>
        <v>0</v>
      </c>
      <c r="P59" s="596"/>
      <c r="Q59" s="596"/>
    </row>
    <row r="60" spans="1:17" s="715" customFormat="1" x14ac:dyDescent="0.2">
      <c r="A60" s="50"/>
      <c r="B60" s="774"/>
      <c r="C60" s="276"/>
      <c r="D60" s="255"/>
      <c r="E60" s="254"/>
      <c r="F60" s="275"/>
      <c r="G60" s="276"/>
      <c r="H60" s="363"/>
      <c r="I60" s="364"/>
      <c r="K60" s="596"/>
      <c r="L60" s="596" t="b">
        <f t="shared" ref="L60:L61" si="11">IF(OR(ISERROR(D60),ISTEXT(D60)),FALSE,NOT(D60&lt;0))</f>
        <v>1</v>
      </c>
      <c r="M60" s="596" t="b">
        <f t="shared" ref="M60:M61" si="12">IF(OR(ISERROR(E60),ISTEXT(E60)),FALSE,NOT(E60&lt;0))</f>
        <v>1</v>
      </c>
      <c r="N60" s="596"/>
      <c r="O60" s="596"/>
      <c r="P60" s="597"/>
      <c r="Q60" s="596"/>
    </row>
    <row r="61" spans="1:17" s="708" customFormat="1" ht="13.5" thickBot="1" x14ac:dyDescent="0.25">
      <c r="A61" s="50"/>
      <c r="B61" s="775"/>
      <c r="C61" s="391"/>
      <c r="D61" s="268"/>
      <c r="E61" s="265"/>
      <c r="F61" s="516"/>
      <c r="G61" s="391"/>
      <c r="H61" s="742"/>
      <c r="I61" s="723"/>
      <c r="K61" s="596"/>
      <c r="L61" s="596" t="b">
        <f t="shared" si="11"/>
        <v>1</v>
      </c>
      <c r="M61" s="596" t="b">
        <f t="shared" si="12"/>
        <v>1</v>
      </c>
      <c r="N61" s="596"/>
      <c r="O61" s="596"/>
      <c r="P61" s="597"/>
      <c r="Q61" s="596"/>
    </row>
    <row r="62" spans="1:17" ht="13.5" thickBot="1" x14ac:dyDescent="0.25">
      <c r="A62" s="50"/>
      <c r="B62" s="719"/>
      <c r="C62" s="720"/>
      <c r="D62" s="621"/>
      <c r="E62" s="621"/>
      <c r="F62" s="621"/>
      <c r="G62" s="720"/>
      <c r="H62" s="720"/>
      <c r="I62" s="721"/>
    </row>
    <row r="63" spans="1:17" ht="13.5" thickBot="1" x14ac:dyDescent="0.25">
      <c r="A63" s="52" t="s">
        <v>29</v>
      </c>
      <c r="B63" s="389" t="s">
        <v>561</v>
      </c>
      <c r="C63" s="276"/>
      <c r="D63" s="583"/>
      <c r="E63" s="583"/>
      <c r="F63" s="583"/>
      <c r="G63" s="276"/>
      <c r="H63" s="276"/>
      <c r="I63" s="364" t="s">
        <v>723</v>
      </c>
    </row>
    <row r="64" spans="1:17" x14ac:dyDescent="0.2">
      <c r="A64" s="161"/>
      <c r="B64" s="358" t="s">
        <v>413</v>
      </c>
      <c r="C64" s="276"/>
      <c r="D64" s="583">
        <f>IF(L64,Prozesskostenrechner!C4,"")</f>
        <v>10000</v>
      </c>
      <c r="E64" s="583"/>
      <c r="F64" s="583"/>
      <c r="G64" s="276"/>
      <c r="H64" s="276"/>
      <c r="I64" s="360"/>
      <c r="L64" s="596" t="b">
        <f>Prozesskostenrechner!L4</f>
        <v>1</v>
      </c>
    </row>
    <row r="65" spans="1:17" x14ac:dyDescent="0.2">
      <c r="A65" s="161"/>
      <c r="B65" s="358" t="s">
        <v>396</v>
      </c>
      <c r="C65" s="276"/>
      <c r="D65" s="622">
        <f ca="1">IF(L65,IF(P66,IF(D4="erste Instanz",Prozesskostenrechner!E16+Prozesskostenrechner!J37,IF(D4="zweite Instanz",Prozesskostenrechner!E16+Prozesskostenrechner!E18+Prozesskostenrechner!J37+Prozesskostenrechner!J38,"")),Prozesskostenrechner!E22+Prozesskostenrechner!E49),"")</f>
        <v>2812.5</v>
      </c>
      <c r="E65" s="583"/>
      <c r="F65" s="583"/>
      <c r="G65" s="276"/>
      <c r="H65" s="276"/>
      <c r="I65" s="360" t="s">
        <v>364</v>
      </c>
      <c r="L65" s="596" t="b">
        <f ca="1">AND(Prozesskostenrechner!L4:L6)</f>
        <v>1</v>
      </c>
    </row>
    <row r="66" spans="1:17" s="707" customFormat="1" x14ac:dyDescent="0.2">
      <c r="A66" s="161"/>
      <c r="B66" s="358" t="s">
        <v>679</v>
      </c>
      <c r="C66" s="276"/>
      <c r="D66" s="583"/>
      <c r="E66" s="583"/>
      <c r="F66" s="583"/>
      <c r="G66" s="276"/>
      <c r="H66" s="276"/>
      <c r="I66" s="360"/>
      <c r="K66" s="596"/>
      <c r="L66" s="596"/>
      <c r="M66" s="596"/>
      <c r="N66" s="596"/>
      <c r="O66" s="596"/>
      <c r="P66" s="597" t="b">
        <v>1</v>
      </c>
      <c r="Q66" s="596"/>
    </row>
    <row r="67" spans="1:17" ht="13.5" thickBot="1" x14ac:dyDescent="0.25">
      <c r="A67" s="161"/>
      <c r="B67" s="390" t="s">
        <v>382</v>
      </c>
      <c r="C67" s="391"/>
      <c r="D67" s="623"/>
      <c r="E67" s="582"/>
      <c r="F67" s="582"/>
      <c r="G67" s="391"/>
      <c r="H67" s="392"/>
      <c r="I67" s="393" t="s">
        <v>364</v>
      </c>
      <c r="L67" s="596" t="b">
        <f>IF(OR(ISERROR(D67),ISTEXT(D67)),FALSE,TRUE)</f>
        <v>1</v>
      </c>
    </row>
    <row r="68" spans="1:17" ht="13.5" thickBot="1" x14ac:dyDescent="0.25">
      <c r="A68" s="51"/>
      <c r="B68" s="58"/>
      <c r="I68" s="76"/>
    </row>
    <row r="69" spans="1:17" ht="13.5" thickBot="1" x14ac:dyDescent="0.25">
      <c r="A69" s="637" t="s">
        <v>30</v>
      </c>
      <c r="B69" s="619" t="s">
        <v>427</v>
      </c>
      <c r="C69" s="620"/>
      <c r="D69" s="620" t="s">
        <v>341</v>
      </c>
      <c r="E69" s="620" t="s">
        <v>77</v>
      </c>
      <c r="F69" s="620"/>
      <c r="G69" s="620"/>
      <c r="H69" s="620"/>
      <c r="I69" s="749" t="s">
        <v>723</v>
      </c>
    </row>
    <row r="70" spans="1:17" x14ac:dyDescent="0.2">
      <c r="A70" s="333"/>
      <c r="B70" s="627" t="s">
        <v>365</v>
      </c>
      <c r="C70" s="628"/>
      <c r="D70" s="629">
        <f>IF(AND(L22:L35),SUM(D22:D35),"")</f>
        <v>0</v>
      </c>
      <c r="E70" s="629">
        <f>IF(AND(M22:M35),SUM(E22:E35),"")</f>
        <v>0</v>
      </c>
      <c r="F70" s="714"/>
      <c r="G70" s="628"/>
      <c r="H70" s="628"/>
      <c r="I70" s="630" t="s">
        <v>342</v>
      </c>
    </row>
    <row r="71" spans="1:17" x14ac:dyDescent="0.2">
      <c r="A71" s="333"/>
      <c r="B71" s="627" t="s">
        <v>815</v>
      </c>
      <c r="C71" s="628"/>
      <c r="D71" s="629">
        <f>IF(AND(L37:L41,L51,L53:L55,L57:L58,L60:L61),SUM(D37:D41,D51,D53:D55,D57:D58,D60:D61),"")</f>
        <v>0</v>
      </c>
      <c r="E71" s="768">
        <f>IF(AND(M37:M41,M51,M53:M55,M57:M58,M60:M61),SUM(E37:E41,E51,E53:E55,E57:E58,E60:E61),"")</f>
        <v>0</v>
      </c>
      <c r="F71" s="714"/>
      <c r="G71" s="628"/>
      <c r="H71" s="628"/>
      <c r="I71" s="630" t="str">
        <f ca="1">IF($L$5,IF(HF_PKH!$AE$1=HF_PKH!$AE$5,"§ 115 Abs. 1 Satz 3 Nr. 1 a), 3, 4 ZPO",IF(HF_PKH!$AE$1=HF_PKH!$AE$45,"§ 115 Abs. 1 Satz 3 Nr. 1 a), 3 bis 5 ZPO","")),"")</f>
        <v>§ 115 Abs. 1 Satz 3 Nr. 1 a), 3 bis 5 ZPO</v>
      </c>
    </row>
    <row r="72" spans="1:17" x14ac:dyDescent="0.2">
      <c r="A72" s="333"/>
      <c r="B72" s="627" t="s">
        <v>76</v>
      </c>
      <c r="C72" s="628"/>
      <c r="D72" s="629">
        <f ca="1">IF(L6,HF_PKH!E54,"")</f>
        <v>0</v>
      </c>
      <c r="E72" s="629"/>
      <c r="F72" s="714"/>
      <c r="G72" s="628"/>
      <c r="H72" s="628"/>
      <c r="I72" s="630" t="str">
        <f ca="1">"§ 115 Abs. 1 Satz 3 Nr. 1 b) ZPO"&amp;IF($L$6,", "&amp;HF_PKH!$E$5,"")</f>
        <v>§ 115 Abs. 1 Satz 3 Nr. 1 b) ZPO, PKHB 2026</v>
      </c>
    </row>
    <row r="73" spans="1:17" x14ac:dyDescent="0.2">
      <c r="A73" s="333"/>
      <c r="B73" s="627" t="s">
        <v>33</v>
      </c>
      <c r="C73" s="628"/>
      <c r="D73" s="629">
        <f ca="1">IF(AND(L6,K15,M15,E76&lt;&gt;""),HF_PKH!F58,"")</f>
        <v>619</v>
      </c>
      <c r="E73" s="629"/>
      <c r="F73" s="714"/>
      <c r="G73" s="628"/>
      <c r="H73" s="628"/>
      <c r="I73" s="630" t="str">
        <f ca="1">"§ 115 Abs. 1 Satz 3 Nr. 2 a) ZPO"&amp;IF($L$6,", "&amp;HF_PKH!$E$5,"")</f>
        <v>§ 115 Abs. 1 Satz 3 Nr. 2 a) ZPO, PKHB 2026</v>
      </c>
    </row>
    <row r="74" spans="1:17" x14ac:dyDescent="0.2">
      <c r="A74" s="333"/>
      <c r="B74" s="627" t="s">
        <v>32</v>
      </c>
      <c r="C74" s="628"/>
      <c r="D74" s="629">
        <f ca="1">IF(AND(L6,K16:N20),HF_PKH!F65,"")</f>
        <v>0</v>
      </c>
      <c r="E74" s="629"/>
      <c r="F74" s="714"/>
      <c r="G74" s="628"/>
      <c r="H74" s="628"/>
      <c r="I74" s="630" t="str">
        <f ca="1">"§ 115 Abs. 1 Satz 3 Nr. 2 b) ZPO"&amp;IF($L$6,", "&amp;HF_PKH!$E$5,"")</f>
        <v>§ 115 Abs. 1 Satz 3 Nr. 2 b) ZPO, PKHB 2026</v>
      </c>
    </row>
    <row r="75" spans="1:17" x14ac:dyDescent="0.2">
      <c r="A75" s="333"/>
      <c r="B75" s="627" t="str">
        <f>"= verfügbares Einkommen"</f>
        <v>= verfügbares Einkommen</v>
      </c>
      <c r="C75" s="628"/>
      <c r="D75" s="629">
        <f t="array" aca="1" ref="D75" ca="1">IF(NOT(OR(EXACT("",D70:D74))),D70-SUM(D71:D74),"")</f>
        <v>-619</v>
      </c>
      <c r="E75" s="629">
        <f t="array" ref="E75">IF(NOT(OR(EXACT("",E70:E71))),E70-E71,"")</f>
        <v>0</v>
      </c>
      <c r="F75" s="714"/>
      <c r="G75" s="628"/>
      <c r="H75" s="628"/>
      <c r="I75" s="630"/>
    </row>
    <row r="76" spans="1:17" x14ac:dyDescent="0.2">
      <c r="A76" s="333"/>
      <c r="B76" s="631" t="s">
        <v>414</v>
      </c>
      <c r="C76" s="628"/>
      <c r="D76" s="632">
        <f ca="1">IF(AND(L5,D75&lt;&gt;""),HF_PKH!AE58,"")</f>
        <v>0</v>
      </c>
      <c r="E76" s="632">
        <f ca="1">IF(AND(L5,E75&lt;&gt;""),HF_PKH!AF58,"")</f>
        <v>0</v>
      </c>
      <c r="F76" s="632"/>
      <c r="G76" s="628"/>
      <c r="H76" s="628"/>
      <c r="I76" s="630" t="s">
        <v>366</v>
      </c>
    </row>
    <row r="77" spans="1:17" ht="13.5" thickBot="1" x14ac:dyDescent="0.25">
      <c r="A77" s="333"/>
      <c r="B77" s="633" t="s">
        <v>398</v>
      </c>
      <c r="C77" s="634"/>
      <c r="D77" s="635">
        <f ca="1">IF(AND(L5,L6,K12,M12,L44:L49,L64:L67),SUM(D44:D49)+IF(C12="ja, in voller Höhe",D65+D67,IF(C12="ja, in Höhe von",MIN(E12,D65+D67),0)),"")</f>
        <v>0</v>
      </c>
      <c r="E77" s="634"/>
      <c r="F77" s="634"/>
      <c r="G77" s="634"/>
      <c r="H77" s="634"/>
      <c r="I77" s="636" t="s">
        <v>428</v>
      </c>
    </row>
    <row r="78" spans="1:17" ht="13.5" thickBot="1" x14ac:dyDescent="0.25">
      <c r="B78" s="395"/>
      <c r="D78" s="67"/>
      <c r="E78" s="396"/>
      <c r="F78" s="396"/>
      <c r="I78" s="76"/>
    </row>
    <row r="79" spans="1:17" ht="13.5" thickBot="1" x14ac:dyDescent="0.25">
      <c r="A79" s="84" t="s">
        <v>31</v>
      </c>
      <c r="B79" s="397" t="s">
        <v>202</v>
      </c>
      <c r="C79" s="86"/>
      <c r="D79" s="398"/>
      <c r="E79" s="399"/>
      <c r="F79" s="399"/>
      <c r="G79" s="86"/>
      <c r="H79" s="86"/>
      <c r="I79" s="750" t="s">
        <v>723</v>
      </c>
    </row>
    <row r="80" spans="1:17" x14ac:dyDescent="0.2">
      <c r="A80" s="333"/>
      <c r="B80" s="400" t="s">
        <v>703</v>
      </c>
      <c r="C80" s="806" t="str">
        <f ca="1">IF(K85,IF((D65+D67)&lt;=(HF_PKH!AD59*4+D77),"nein","ja"),"")</f>
        <v>ja</v>
      </c>
      <c r="D80" s="812"/>
      <c r="E80" s="401"/>
      <c r="F80" s="401"/>
      <c r="G80" s="90"/>
      <c r="H80" s="90"/>
      <c r="I80" s="402" t="s">
        <v>364</v>
      </c>
    </row>
    <row r="81" spans="1:17" x14ac:dyDescent="0.2">
      <c r="A81" s="333"/>
      <c r="B81" s="403" t="s">
        <v>318</v>
      </c>
      <c r="C81" s="806" t="str">
        <f ca="1">IF(C80="ja",IF(HF_PKH!AD59=0,"nein","ja, in Höhe von "),"")</f>
        <v>nein</v>
      </c>
      <c r="D81" s="807"/>
      <c r="E81" s="91">
        <f ca="1">IF(AND(D75&lt;&gt;"",D77&lt;&gt;""),HF_PKH!AD59,"")</f>
        <v>0</v>
      </c>
      <c r="F81" s="91"/>
      <c r="G81" s="90"/>
      <c r="H81" s="90"/>
      <c r="I81" s="402" t="s">
        <v>319</v>
      </c>
    </row>
    <row r="82" spans="1:17" ht="13.5" thickBot="1" x14ac:dyDescent="0.25">
      <c r="A82" s="49"/>
      <c r="B82" s="404" t="s">
        <v>321</v>
      </c>
      <c r="C82" s="808" t="str">
        <f ca="1">IF(C80="ja",IF(D77=0,"nein","ja, in Höhe von "),"")</f>
        <v>nein</v>
      </c>
      <c r="D82" s="809"/>
      <c r="E82" s="105">
        <f ca="1">IF(AND(D75&lt;&gt;"",D77&lt;&gt;""),D77,"")</f>
        <v>0</v>
      </c>
      <c r="F82" s="105"/>
      <c r="G82" s="104"/>
      <c r="H82" s="104"/>
      <c r="I82" s="405" t="s">
        <v>320</v>
      </c>
    </row>
    <row r="83" spans="1:17" ht="13.5" thickBot="1" x14ac:dyDescent="0.25"/>
    <row r="84" spans="1:17" s="617" customFormat="1" ht="13.5" thickBot="1" x14ac:dyDescent="0.25">
      <c r="A84" s="624" t="s">
        <v>653</v>
      </c>
      <c r="B84" s="625" t="s">
        <v>652</v>
      </c>
      <c r="C84" s="626"/>
      <c r="D84" s="616"/>
      <c r="F84" s="715"/>
      <c r="K84" s="596"/>
      <c r="L84" s="596"/>
      <c r="M84" s="596"/>
      <c r="N84" s="596"/>
      <c r="O84" s="596"/>
      <c r="P84" s="596"/>
      <c r="Q84" s="596"/>
    </row>
    <row r="85" spans="1:17" s="603" customFormat="1" ht="13.5" thickBot="1" x14ac:dyDescent="0.25">
      <c r="B85" s="786" t="str">
        <f ca="1">IF(K85,"Alle Eingaben sind formal fehlerfrei.","Die rot gefärbten Felder enthalten fehlerhafte oder keine Eingaben!")</f>
        <v>Alle Eingaben sind formal fehlerfrei.</v>
      </c>
      <c r="C85" s="803"/>
      <c r="D85" s="787"/>
      <c r="E85" s="617"/>
      <c r="F85" s="715"/>
      <c r="K85" s="596" t="b">
        <f ca="1">AND(L4:L6,L11,K12,M12,K15,M15,K16:N20,L22:M35,L37:M41,L44:L49,L51:M51,L53:M55,L57:M58,L60:M61,L64:L65,L67)</f>
        <v>1</v>
      </c>
      <c r="L85" s="596"/>
      <c r="M85" s="596"/>
      <c r="N85" s="596"/>
      <c r="O85" s="596"/>
      <c r="P85" s="596"/>
      <c r="Q85" s="596"/>
    </row>
    <row r="86" spans="1:17" s="603" customFormat="1" x14ac:dyDescent="0.2">
      <c r="B86" s="76"/>
      <c r="F86" s="715"/>
      <c r="K86" s="596"/>
      <c r="L86" s="596"/>
      <c r="M86" s="596"/>
      <c r="N86" s="596"/>
      <c r="O86" s="596"/>
      <c r="P86" s="596"/>
      <c r="Q86" s="596"/>
    </row>
    <row r="87" spans="1:17" x14ac:dyDescent="0.2">
      <c r="B87" s="282" t="str">
        <f>Übersicht!A30</f>
        <v>Haftungsausschluss</v>
      </c>
    </row>
    <row r="88" spans="1:17" x14ac:dyDescent="0.2">
      <c r="B88" s="58" t="str">
        <f>Übersicht!A31</f>
        <v>Für die Richtigkeit der rechtlichen Bewertungen und der Berechnungsergebnisse besteht trotz sorgfältiger Bearbeitung und Prüfung keine Gewähr.</v>
      </c>
    </row>
    <row r="90" spans="1:17" x14ac:dyDescent="0.2">
      <c r="B90" s="282" t="s">
        <v>150</v>
      </c>
    </row>
    <row r="91" spans="1:17" x14ac:dyDescent="0.2">
      <c r="A91" s="120" t="s">
        <v>360</v>
      </c>
      <c r="B91" s="406" t="s">
        <v>186</v>
      </c>
    </row>
    <row r="92" spans="1:17" s="746" customFormat="1" x14ac:dyDescent="0.2">
      <c r="A92" s="120"/>
      <c r="B92" s="406" t="s">
        <v>741</v>
      </c>
      <c r="K92" s="596"/>
      <c r="L92" s="596"/>
      <c r="M92" s="596"/>
      <c r="N92" s="596"/>
      <c r="O92" s="596"/>
      <c r="P92" s="596"/>
      <c r="Q92" s="596"/>
    </row>
    <row r="93" spans="1:17" s="746" customFormat="1" x14ac:dyDescent="0.2">
      <c r="A93" s="120"/>
      <c r="B93" s="58" t="s">
        <v>791</v>
      </c>
      <c r="K93" s="596"/>
      <c r="L93" s="596"/>
      <c r="M93" s="596"/>
      <c r="N93" s="596"/>
      <c r="O93" s="596"/>
      <c r="P93" s="596"/>
      <c r="Q93" s="596"/>
    </row>
    <row r="94" spans="1:17" s="746" customFormat="1" x14ac:dyDescent="0.2">
      <c r="A94" s="120"/>
      <c r="B94" s="58" t="s">
        <v>792</v>
      </c>
      <c r="K94" s="596"/>
      <c r="L94" s="596"/>
      <c r="M94" s="596"/>
      <c r="N94" s="596"/>
      <c r="O94" s="596"/>
      <c r="P94" s="596"/>
      <c r="Q94" s="596"/>
    </row>
    <row r="95" spans="1:17" x14ac:dyDescent="0.2">
      <c r="A95" s="119"/>
      <c r="B95" s="121" t="s">
        <v>793</v>
      </c>
    </row>
    <row r="96" spans="1:17" s="746" customFormat="1" x14ac:dyDescent="0.2">
      <c r="A96" s="119"/>
      <c r="B96" s="51" t="s">
        <v>794</v>
      </c>
      <c r="K96" s="596"/>
      <c r="L96" s="596"/>
      <c r="M96" s="596"/>
      <c r="N96" s="596"/>
      <c r="O96" s="596"/>
      <c r="P96" s="596"/>
      <c r="Q96" s="596"/>
    </row>
    <row r="97" spans="1:17" x14ac:dyDescent="0.2">
      <c r="A97" s="119"/>
      <c r="B97" s="51" t="s">
        <v>795</v>
      </c>
    </row>
    <row r="98" spans="1:17" x14ac:dyDescent="0.2">
      <c r="A98" s="119"/>
      <c r="B98" s="51" t="s">
        <v>796</v>
      </c>
    </row>
    <row r="99" spans="1:17" x14ac:dyDescent="0.2">
      <c r="A99" s="119"/>
      <c r="B99" s="51" t="s">
        <v>797</v>
      </c>
    </row>
    <row r="100" spans="1:17" x14ac:dyDescent="0.2">
      <c r="A100" s="120" t="s">
        <v>28</v>
      </c>
      <c r="B100" s="407" t="s">
        <v>78</v>
      </c>
    </row>
    <row r="101" spans="1:17" x14ac:dyDescent="0.2">
      <c r="B101" s="408" t="s">
        <v>79</v>
      </c>
    </row>
    <row r="102" spans="1:17" x14ac:dyDescent="0.2">
      <c r="B102" s="408" t="s">
        <v>724</v>
      </c>
    </row>
    <row r="103" spans="1:17" x14ac:dyDescent="0.2">
      <c r="B103" s="408" t="s">
        <v>92</v>
      </c>
    </row>
    <row r="104" spans="1:17" x14ac:dyDescent="0.2">
      <c r="A104" s="120" t="s">
        <v>323</v>
      </c>
      <c r="B104" s="407" t="s">
        <v>704</v>
      </c>
    </row>
    <row r="105" spans="1:17" x14ac:dyDescent="0.2">
      <c r="B105" s="395" t="s">
        <v>705</v>
      </c>
    </row>
    <row r="106" spans="1:17" s="769" customFormat="1" x14ac:dyDescent="0.2">
      <c r="B106" s="395" t="s">
        <v>839</v>
      </c>
      <c r="K106" s="596"/>
      <c r="L106" s="596"/>
      <c r="M106" s="596"/>
      <c r="N106" s="596"/>
      <c r="O106" s="596"/>
      <c r="P106" s="596"/>
      <c r="Q106" s="596"/>
    </row>
    <row r="107" spans="1:17" s="769" customFormat="1" x14ac:dyDescent="0.2">
      <c r="B107" s="395" t="s">
        <v>824</v>
      </c>
      <c r="K107" s="596"/>
      <c r="L107" s="596"/>
      <c r="M107" s="596"/>
      <c r="N107" s="596"/>
      <c r="O107" s="596"/>
      <c r="P107" s="596"/>
      <c r="Q107" s="596"/>
    </row>
    <row r="108" spans="1:17" s="769" customFormat="1" x14ac:dyDescent="0.2">
      <c r="B108" s="395" t="s">
        <v>825</v>
      </c>
      <c r="K108" s="596"/>
      <c r="L108" s="596"/>
      <c r="M108" s="596"/>
      <c r="N108" s="596"/>
      <c r="O108" s="596"/>
      <c r="P108" s="596"/>
      <c r="Q108" s="596"/>
    </row>
    <row r="109" spans="1:17" s="769" customFormat="1" x14ac:dyDescent="0.2">
      <c r="B109" s="395" t="s">
        <v>826</v>
      </c>
      <c r="K109" s="596"/>
      <c r="L109" s="596"/>
      <c r="M109" s="596"/>
      <c r="N109" s="596"/>
      <c r="O109" s="596"/>
      <c r="P109" s="596"/>
      <c r="Q109" s="596"/>
    </row>
    <row r="110" spans="1:17" x14ac:dyDescent="0.2">
      <c r="A110" s="120" t="s">
        <v>325</v>
      </c>
      <c r="B110" s="407" t="s">
        <v>706</v>
      </c>
    </row>
    <row r="111" spans="1:17" x14ac:dyDescent="0.2">
      <c r="B111" s="58" t="s">
        <v>707</v>
      </c>
    </row>
    <row r="112" spans="1:17" x14ac:dyDescent="0.2">
      <c r="B112" s="58" t="s">
        <v>767</v>
      </c>
    </row>
    <row r="113" spans="1:17" x14ac:dyDescent="0.2">
      <c r="A113" s="120" t="s">
        <v>326</v>
      </c>
      <c r="B113" s="406" t="s">
        <v>725</v>
      </c>
    </row>
    <row r="114" spans="1:17" x14ac:dyDescent="0.2">
      <c r="B114" s="58" t="s">
        <v>726</v>
      </c>
    </row>
    <row r="115" spans="1:17" x14ac:dyDescent="0.2">
      <c r="B115" s="58" t="s">
        <v>727</v>
      </c>
    </row>
    <row r="116" spans="1:17" x14ac:dyDescent="0.2">
      <c r="B116" s="58" t="s">
        <v>798</v>
      </c>
    </row>
    <row r="117" spans="1:17" x14ac:dyDescent="0.2">
      <c r="B117" s="58" t="s">
        <v>768</v>
      </c>
    </row>
    <row r="118" spans="1:17" x14ac:dyDescent="0.2">
      <c r="B118" s="406" t="s">
        <v>642</v>
      </c>
    </row>
    <row r="119" spans="1:17" x14ac:dyDescent="0.2">
      <c r="B119" s="58" t="s">
        <v>840</v>
      </c>
    </row>
    <row r="120" spans="1:17" s="778" customFormat="1" x14ac:dyDescent="0.2">
      <c r="B120" s="58" t="s">
        <v>827</v>
      </c>
      <c r="K120" s="596"/>
      <c r="L120" s="596"/>
      <c r="M120" s="596"/>
      <c r="N120" s="596"/>
      <c r="O120" s="596"/>
      <c r="P120" s="596"/>
      <c r="Q120" s="596"/>
    </row>
    <row r="121" spans="1:17" x14ac:dyDescent="0.2">
      <c r="B121" s="406" t="s">
        <v>661</v>
      </c>
    </row>
    <row r="122" spans="1:17" x14ac:dyDescent="0.2">
      <c r="B122" s="58" t="s">
        <v>799</v>
      </c>
    </row>
    <row r="123" spans="1:17" x14ac:dyDescent="0.2">
      <c r="B123" s="58" t="s">
        <v>708</v>
      </c>
    </row>
    <row r="124" spans="1:17" x14ac:dyDescent="0.2">
      <c r="B124" s="58" t="s">
        <v>709</v>
      </c>
    </row>
    <row r="125" spans="1:17" s="778" customFormat="1" x14ac:dyDescent="0.2">
      <c r="B125" s="58" t="s">
        <v>742</v>
      </c>
      <c r="K125" s="596"/>
      <c r="L125" s="596"/>
      <c r="M125" s="596"/>
      <c r="N125" s="596"/>
      <c r="O125" s="596"/>
      <c r="P125" s="596"/>
      <c r="Q125" s="596"/>
    </row>
    <row r="126" spans="1:17" x14ac:dyDescent="0.2">
      <c r="B126" s="395" t="s">
        <v>863</v>
      </c>
    </row>
    <row r="127" spans="1:17" s="782" customFormat="1" x14ac:dyDescent="0.2">
      <c r="B127" s="395" t="s">
        <v>864</v>
      </c>
      <c r="K127" s="596"/>
      <c r="L127" s="596"/>
      <c r="M127" s="596"/>
      <c r="N127" s="596"/>
      <c r="O127" s="596"/>
      <c r="P127" s="596"/>
      <c r="Q127" s="596"/>
    </row>
    <row r="128" spans="1:17" x14ac:dyDescent="0.2">
      <c r="B128" s="407" t="s">
        <v>801</v>
      </c>
    </row>
    <row r="129" spans="1:17" x14ac:dyDescent="0.2">
      <c r="B129" s="395" t="s">
        <v>800</v>
      </c>
    </row>
    <row r="130" spans="1:17" x14ac:dyDescent="0.2">
      <c r="A130" s="51"/>
      <c r="B130" s="395" t="s">
        <v>802</v>
      </c>
    </row>
    <row r="131" spans="1:17" x14ac:dyDescent="0.2">
      <c r="A131" s="51"/>
      <c r="B131" s="395" t="s">
        <v>828</v>
      </c>
    </row>
    <row r="132" spans="1:17" s="715" customFormat="1" x14ac:dyDescent="0.2">
      <c r="A132" s="51"/>
      <c r="B132" s="395" t="s">
        <v>805</v>
      </c>
      <c r="K132" s="596"/>
      <c r="L132" s="596"/>
      <c r="M132" s="596"/>
      <c r="N132" s="596"/>
      <c r="O132" s="596"/>
      <c r="P132" s="596"/>
      <c r="Q132" s="596"/>
    </row>
    <row r="133" spans="1:17" s="769" customFormat="1" x14ac:dyDescent="0.2">
      <c r="A133" s="51"/>
      <c r="B133" s="395" t="s">
        <v>803</v>
      </c>
      <c r="K133" s="596"/>
      <c r="L133" s="596"/>
      <c r="M133" s="596"/>
      <c r="N133" s="596"/>
      <c r="O133" s="596"/>
      <c r="P133" s="596"/>
      <c r="Q133" s="596"/>
    </row>
    <row r="134" spans="1:17" s="769" customFormat="1" x14ac:dyDescent="0.2">
      <c r="A134" s="51"/>
      <c r="B134" s="395" t="s">
        <v>804</v>
      </c>
      <c r="K134" s="596"/>
      <c r="L134" s="596"/>
      <c r="M134" s="596"/>
      <c r="N134" s="596"/>
      <c r="O134" s="596"/>
      <c r="P134" s="596"/>
      <c r="Q134" s="596"/>
    </row>
    <row r="135" spans="1:17" x14ac:dyDescent="0.2">
      <c r="A135" s="120" t="s">
        <v>355</v>
      </c>
      <c r="B135" s="407" t="s">
        <v>553</v>
      </c>
    </row>
    <row r="136" spans="1:17" x14ac:dyDescent="0.2">
      <c r="B136" s="395" t="s">
        <v>622</v>
      </c>
    </row>
    <row r="137" spans="1:17" x14ac:dyDescent="0.2">
      <c r="B137" s="395" t="s">
        <v>754</v>
      </c>
    </row>
    <row r="138" spans="1:17" s="754" customFormat="1" x14ac:dyDescent="0.2">
      <c r="B138" s="395" t="s">
        <v>848</v>
      </c>
      <c r="K138" s="596"/>
      <c r="L138" s="596"/>
      <c r="M138" s="596"/>
      <c r="N138" s="596"/>
      <c r="O138" s="596"/>
      <c r="P138" s="596"/>
      <c r="Q138" s="596"/>
    </row>
    <row r="139" spans="1:17" s="754" customFormat="1" x14ac:dyDescent="0.2">
      <c r="B139" s="395" t="s">
        <v>849</v>
      </c>
      <c r="K139" s="596"/>
      <c r="L139" s="596"/>
      <c r="M139" s="596"/>
      <c r="N139" s="596"/>
      <c r="O139" s="596"/>
      <c r="P139" s="596"/>
      <c r="Q139" s="596"/>
    </row>
    <row r="140" spans="1:17" s="754" customFormat="1" x14ac:dyDescent="0.2">
      <c r="B140" s="395" t="s">
        <v>850</v>
      </c>
      <c r="K140" s="596"/>
      <c r="L140" s="596"/>
      <c r="M140" s="596"/>
      <c r="N140" s="596"/>
      <c r="O140" s="596"/>
      <c r="P140" s="596"/>
      <c r="Q140" s="596"/>
    </row>
    <row r="141" spans="1:17" s="780" customFormat="1" x14ac:dyDescent="0.2">
      <c r="B141" s="395" t="s">
        <v>851</v>
      </c>
      <c r="K141" s="596"/>
      <c r="L141" s="596"/>
      <c r="M141" s="596"/>
      <c r="N141" s="596"/>
      <c r="O141" s="596"/>
      <c r="P141" s="596"/>
      <c r="Q141" s="596"/>
    </row>
    <row r="142" spans="1:17" x14ac:dyDescent="0.2">
      <c r="B142" s="395" t="s">
        <v>852</v>
      </c>
    </row>
    <row r="143" spans="1:17" x14ac:dyDescent="0.2">
      <c r="B143" s="407" t="s">
        <v>710</v>
      </c>
    </row>
    <row r="144" spans="1:17" x14ac:dyDescent="0.2">
      <c r="B144" s="58" t="s">
        <v>711</v>
      </c>
    </row>
    <row r="145" spans="1:17" x14ac:dyDescent="0.2">
      <c r="A145" s="120" t="s">
        <v>356</v>
      </c>
      <c r="B145" s="406" t="s">
        <v>694</v>
      </c>
    </row>
    <row r="146" spans="1:17" x14ac:dyDescent="0.2">
      <c r="B146" s="58" t="s">
        <v>695</v>
      </c>
    </row>
    <row r="147" spans="1:17" x14ac:dyDescent="0.2">
      <c r="B147" s="58" t="s">
        <v>769</v>
      </c>
    </row>
    <row r="148" spans="1:17" x14ac:dyDescent="0.2">
      <c r="B148" s="58" t="s">
        <v>712</v>
      </c>
    </row>
    <row r="149" spans="1:17" x14ac:dyDescent="0.2">
      <c r="B149" s="58" t="s">
        <v>713</v>
      </c>
    </row>
    <row r="150" spans="1:17" s="743" customFormat="1" x14ac:dyDescent="0.2">
      <c r="B150" s="58" t="s">
        <v>714</v>
      </c>
      <c r="K150" s="596"/>
      <c r="L150" s="596"/>
      <c r="M150" s="596"/>
      <c r="N150" s="596"/>
      <c r="O150" s="596"/>
      <c r="P150" s="596"/>
      <c r="Q150" s="596"/>
    </row>
    <row r="151" spans="1:17" s="778" customFormat="1" x14ac:dyDescent="0.2">
      <c r="B151" s="58" t="s">
        <v>841</v>
      </c>
      <c r="K151" s="596"/>
      <c r="L151" s="596"/>
      <c r="M151" s="596"/>
      <c r="N151" s="596"/>
      <c r="O151" s="596"/>
      <c r="P151" s="596"/>
      <c r="Q151" s="596"/>
    </row>
    <row r="152" spans="1:17" x14ac:dyDescent="0.2">
      <c r="A152" s="120" t="s">
        <v>360</v>
      </c>
      <c r="B152" s="406" t="s">
        <v>662</v>
      </c>
    </row>
    <row r="153" spans="1:17" s="682" customFormat="1" x14ac:dyDescent="0.2">
      <c r="B153" s="58" t="s">
        <v>663</v>
      </c>
      <c r="F153" s="715"/>
      <c r="K153" s="596"/>
      <c r="L153" s="596"/>
      <c r="M153" s="596"/>
      <c r="N153" s="596"/>
      <c r="O153" s="596"/>
      <c r="P153" s="596"/>
      <c r="Q153" s="596"/>
    </row>
    <row r="154" spans="1:17" x14ac:dyDescent="0.2">
      <c r="A154" s="120" t="s">
        <v>362</v>
      </c>
      <c r="B154" s="406" t="s">
        <v>559</v>
      </c>
    </row>
    <row r="155" spans="1:17" x14ac:dyDescent="0.2">
      <c r="B155" s="58" t="s">
        <v>560</v>
      </c>
    </row>
    <row r="156" spans="1:17" s="769" customFormat="1" x14ac:dyDescent="0.2">
      <c r="B156" s="58" t="s">
        <v>831</v>
      </c>
      <c r="K156" s="596"/>
      <c r="L156" s="596"/>
      <c r="M156" s="596"/>
      <c r="N156" s="596"/>
      <c r="O156" s="596"/>
      <c r="P156" s="596"/>
      <c r="Q156" s="596"/>
    </row>
    <row r="157" spans="1:17" s="778" customFormat="1" x14ac:dyDescent="0.2">
      <c r="B157" s="58" t="s">
        <v>832</v>
      </c>
      <c r="K157" s="596"/>
      <c r="L157" s="596"/>
      <c r="M157" s="596"/>
      <c r="N157" s="596"/>
      <c r="O157" s="596"/>
      <c r="P157" s="596"/>
      <c r="Q157" s="596"/>
    </row>
    <row r="158" spans="1:17" s="769" customFormat="1" x14ac:dyDescent="0.2">
      <c r="B158" s="58" t="s">
        <v>833</v>
      </c>
      <c r="K158" s="596"/>
      <c r="L158" s="596"/>
      <c r="M158" s="596"/>
      <c r="N158" s="596"/>
      <c r="O158" s="596"/>
      <c r="P158" s="596"/>
      <c r="Q158" s="596"/>
    </row>
    <row r="159" spans="1:17" s="769" customFormat="1" x14ac:dyDescent="0.2">
      <c r="B159" s="58" t="s">
        <v>836</v>
      </c>
      <c r="K159" s="596"/>
      <c r="L159" s="596"/>
      <c r="M159" s="596"/>
      <c r="N159" s="596"/>
      <c r="O159" s="596"/>
      <c r="P159" s="596"/>
      <c r="Q159" s="596"/>
    </row>
    <row r="160" spans="1:17" s="769" customFormat="1" x14ac:dyDescent="0.2">
      <c r="B160" s="58" t="s">
        <v>837</v>
      </c>
      <c r="K160" s="596"/>
      <c r="L160" s="596"/>
      <c r="M160" s="596"/>
      <c r="N160" s="596"/>
      <c r="O160" s="596"/>
      <c r="P160" s="596"/>
      <c r="Q160" s="596"/>
    </row>
    <row r="161" spans="1:17" s="769" customFormat="1" x14ac:dyDescent="0.2">
      <c r="B161" s="58" t="s">
        <v>834</v>
      </c>
      <c r="K161" s="596"/>
      <c r="L161" s="596"/>
      <c r="M161" s="596"/>
      <c r="N161" s="596"/>
      <c r="O161" s="596"/>
      <c r="P161" s="596"/>
      <c r="Q161" s="596"/>
    </row>
    <row r="162" spans="1:17" s="769" customFormat="1" x14ac:dyDescent="0.2">
      <c r="B162" s="58" t="s">
        <v>835</v>
      </c>
      <c r="K162" s="596"/>
      <c r="L162" s="596"/>
      <c r="M162" s="596"/>
      <c r="N162" s="596"/>
      <c r="O162" s="596"/>
      <c r="P162" s="596"/>
      <c r="Q162" s="596"/>
    </row>
    <row r="163" spans="1:17" s="769" customFormat="1" x14ac:dyDescent="0.2">
      <c r="B163" s="58" t="s">
        <v>806</v>
      </c>
      <c r="K163" s="596"/>
      <c r="L163" s="596"/>
      <c r="M163" s="596"/>
      <c r="N163" s="596"/>
      <c r="O163" s="596"/>
      <c r="P163" s="596"/>
      <c r="Q163" s="596"/>
    </row>
    <row r="164" spans="1:17" s="708" customFormat="1" x14ac:dyDescent="0.2">
      <c r="B164" s="58" t="s">
        <v>807</v>
      </c>
      <c r="F164" s="715"/>
      <c r="K164" s="596"/>
      <c r="L164" s="596"/>
      <c r="M164" s="596"/>
      <c r="N164" s="596"/>
      <c r="O164" s="596"/>
      <c r="P164" s="596"/>
      <c r="Q164" s="596"/>
    </row>
    <row r="165" spans="1:17" s="715" customFormat="1" x14ac:dyDescent="0.2">
      <c r="B165" s="58" t="s">
        <v>808</v>
      </c>
      <c r="K165" s="596"/>
      <c r="L165" s="596"/>
      <c r="M165" s="596"/>
      <c r="N165" s="596"/>
      <c r="O165" s="596"/>
      <c r="P165" s="596"/>
      <c r="Q165" s="596"/>
    </row>
    <row r="166" spans="1:17" s="715" customFormat="1" x14ac:dyDescent="0.2">
      <c r="B166" s="51" t="s">
        <v>809</v>
      </c>
      <c r="K166" s="596"/>
      <c r="L166" s="596"/>
      <c r="M166" s="596"/>
      <c r="N166" s="596"/>
      <c r="O166" s="596"/>
      <c r="P166" s="596"/>
      <c r="Q166" s="596"/>
    </row>
    <row r="167" spans="1:17" s="715" customFormat="1" x14ac:dyDescent="0.2">
      <c r="B167" s="51" t="s">
        <v>810</v>
      </c>
      <c r="K167" s="596"/>
      <c r="L167" s="596"/>
      <c r="M167" s="596"/>
      <c r="N167" s="596"/>
      <c r="O167" s="596"/>
      <c r="P167" s="596"/>
      <c r="Q167" s="596"/>
    </row>
    <row r="168" spans="1:17" s="715" customFormat="1" x14ac:dyDescent="0.2">
      <c r="B168" s="51" t="s">
        <v>811</v>
      </c>
      <c r="K168" s="596"/>
      <c r="L168" s="596"/>
      <c r="M168" s="596"/>
      <c r="N168" s="596"/>
      <c r="O168" s="596"/>
      <c r="P168" s="596"/>
      <c r="Q168" s="596"/>
    </row>
    <row r="169" spans="1:17" s="715" customFormat="1" x14ac:dyDescent="0.2">
      <c r="B169" s="51" t="s">
        <v>838</v>
      </c>
      <c r="K169" s="596"/>
      <c r="L169" s="596"/>
      <c r="M169" s="596"/>
      <c r="N169" s="596"/>
      <c r="O169" s="596"/>
      <c r="P169" s="596"/>
      <c r="Q169" s="596"/>
    </row>
    <row r="170" spans="1:17" s="715" customFormat="1" x14ac:dyDescent="0.2">
      <c r="B170" s="51" t="s">
        <v>812</v>
      </c>
      <c r="K170" s="596"/>
      <c r="L170" s="596"/>
      <c r="M170" s="596"/>
      <c r="N170" s="596"/>
      <c r="O170" s="596"/>
      <c r="P170" s="596"/>
      <c r="Q170" s="596"/>
    </row>
    <row r="171" spans="1:17" s="769" customFormat="1" x14ac:dyDescent="0.2">
      <c r="B171" s="51" t="s">
        <v>813</v>
      </c>
      <c r="K171" s="596"/>
      <c r="L171" s="596"/>
      <c r="M171" s="596"/>
      <c r="N171" s="596"/>
      <c r="O171" s="596"/>
      <c r="P171" s="596"/>
      <c r="Q171" s="596"/>
    </row>
    <row r="172" spans="1:17" s="744" customFormat="1" x14ac:dyDescent="0.2">
      <c r="B172" s="51" t="s">
        <v>814</v>
      </c>
      <c r="K172" s="596"/>
      <c r="L172" s="596"/>
      <c r="M172" s="596"/>
      <c r="N172" s="596"/>
      <c r="O172" s="596"/>
      <c r="P172" s="596"/>
      <c r="Q172" s="596"/>
    </row>
    <row r="173" spans="1:17" s="778" customFormat="1" x14ac:dyDescent="0.2">
      <c r="B173" s="51" t="s">
        <v>829</v>
      </c>
      <c r="K173" s="596"/>
      <c r="L173" s="596"/>
      <c r="M173" s="596"/>
      <c r="N173" s="596"/>
      <c r="O173" s="596"/>
      <c r="P173" s="596"/>
      <c r="Q173" s="596"/>
    </row>
    <row r="174" spans="1:17" s="778" customFormat="1" x14ac:dyDescent="0.2">
      <c r="B174" s="51" t="s">
        <v>830</v>
      </c>
      <c r="K174" s="596"/>
      <c r="L174" s="596"/>
      <c r="M174" s="596"/>
      <c r="N174" s="596"/>
      <c r="O174" s="596"/>
      <c r="P174" s="596"/>
      <c r="Q174" s="596"/>
    </row>
    <row r="175" spans="1:17" s="707" customFormat="1" x14ac:dyDescent="0.2">
      <c r="A175" s="120" t="s">
        <v>29</v>
      </c>
      <c r="B175" s="406" t="s">
        <v>715</v>
      </c>
      <c r="F175" s="715"/>
      <c r="K175" s="596"/>
      <c r="L175" s="596"/>
      <c r="M175" s="596"/>
      <c r="N175" s="596"/>
      <c r="O175" s="596"/>
      <c r="P175" s="596"/>
      <c r="Q175" s="596"/>
    </row>
    <row r="176" spans="1:17" s="707" customFormat="1" x14ac:dyDescent="0.2">
      <c r="B176" s="58" t="s">
        <v>716</v>
      </c>
      <c r="F176" s="715"/>
      <c r="K176" s="596"/>
      <c r="L176" s="596"/>
      <c r="M176" s="596"/>
      <c r="N176" s="596"/>
      <c r="O176" s="596"/>
      <c r="P176" s="596"/>
      <c r="Q176" s="596"/>
    </row>
    <row r="177" spans="1:17" s="707" customFormat="1" x14ac:dyDescent="0.2">
      <c r="B177" s="58" t="s">
        <v>717</v>
      </c>
      <c r="F177" s="715"/>
      <c r="K177" s="596"/>
      <c r="L177" s="596"/>
      <c r="M177" s="596"/>
      <c r="N177" s="596"/>
      <c r="O177" s="596"/>
      <c r="P177" s="596"/>
      <c r="Q177" s="596"/>
    </row>
    <row r="178" spans="1:17" s="751" customFormat="1" x14ac:dyDescent="0.2">
      <c r="B178" s="58" t="s">
        <v>680</v>
      </c>
      <c r="K178" s="596"/>
      <c r="L178" s="596"/>
      <c r="M178" s="596"/>
      <c r="N178" s="596"/>
      <c r="O178" s="596"/>
      <c r="P178" s="596"/>
      <c r="Q178" s="596"/>
    </row>
    <row r="179" spans="1:17" s="751" customFormat="1" x14ac:dyDescent="0.2">
      <c r="B179" s="58" t="s">
        <v>728</v>
      </c>
      <c r="K179" s="596"/>
      <c r="L179" s="596"/>
      <c r="M179" s="596"/>
      <c r="N179" s="596"/>
      <c r="O179" s="596"/>
      <c r="P179" s="596"/>
      <c r="Q179" s="596"/>
    </row>
    <row r="180" spans="1:17" s="751" customFormat="1" x14ac:dyDescent="0.2">
      <c r="B180" s="58" t="s">
        <v>729</v>
      </c>
      <c r="K180" s="596"/>
      <c r="L180" s="596"/>
      <c r="M180" s="596"/>
      <c r="N180" s="596"/>
      <c r="O180" s="596"/>
      <c r="P180" s="596"/>
      <c r="Q180" s="596"/>
    </row>
    <row r="181" spans="1:17" s="751" customFormat="1" x14ac:dyDescent="0.2">
      <c r="B181" s="58" t="s">
        <v>732</v>
      </c>
      <c r="K181" s="596"/>
      <c r="L181" s="596"/>
      <c r="M181" s="596"/>
      <c r="N181" s="596"/>
      <c r="O181" s="596"/>
      <c r="P181" s="596"/>
      <c r="Q181" s="596"/>
    </row>
    <row r="182" spans="1:17" s="751" customFormat="1" x14ac:dyDescent="0.2">
      <c r="B182" s="58" t="s">
        <v>733</v>
      </c>
      <c r="K182" s="596"/>
      <c r="L182" s="596"/>
      <c r="M182" s="596"/>
      <c r="N182" s="596"/>
      <c r="O182" s="596"/>
      <c r="P182" s="596"/>
      <c r="Q182" s="596"/>
    </row>
    <row r="183" spans="1:17" x14ac:dyDescent="0.2">
      <c r="B183" s="407" t="s">
        <v>681</v>
      </c>
    </row>
    <row r="184" spans="1:17" x14ac:dyDescent="0.2">
      <c r="A184" s="120" t="s">
        <v>30</v>
      </c>
      <c r="B184" s="407" t="s">
        <v>562</v>
      </c>
    </row>
    <row r="185" spans="1:17" x14ac:dyDescent="0.2">
      <c r="A185" s="51"/>
      <c r="B185" s="395" t="s">
        <v>718</v>
      </c>
    </row>
    <row r="186" spans="1:17" x14ac:dyDescent="0.2">
      <c r="B186" s="395" t="s">
        <v>719</v>
      </c>
    </row>
    <row r="187" spans="1:17" x14ac:dyDescent="0.2">
      <c r="B187" s="406" t="s">
        <v>720</v>
      </c>
    </row>
    <row r="188" spans="1:17" x14ac:dyDescent="0.2">
      <c r="B188" s="58" t="s">
        <v>722</v>
      </c>
    </row>
  </sheetData>
  <sheetProtection sheet="1" objects="1" scenarios="1"/>
  <mergeCells count="6">
    <mergeCell ref="B85:D85"/>
    <mergeCell ref="D11:E11"/>
    <mergeCell ref="C81:D81"/>
    <mergeCell ref="C82:D82"/>
    <mergeCell ref="C12:D12"/>
    <mergeCell ref="C80:D80"/>
  </mergeCells>
  <phoneticPr fontId="0" type="noConversion"/>
  <conditionalFormatting sqref="F16:F20">
    <cfRule type="expression" dxfId="26" priority="15" stopIfTrue="1">
      <formula>NOT(N16)</formula>
    </cfRule>
  </conditionalFormatting>
  <conditionalFormatting sqref="E81:F81">
    <cfRule type="expression" dxfId="25" priority="19" stopIfTrue="1">
      <formula>OR(C80&lt;&gt;"ja",E81=0)</formula>
    </cfRule>
  </conditionalFormatting>
  <conditionalFormatting sqref="E82:F82">
    <cfRule type="expression" dxfId="24" priority="20" stopIfTrue="1">
      <formula>OR(C80&lt;&gt;"ja",E82=0)</formula>
    </cfRule>
  </conditionalFormatting>
  <conditionalFormatting sqref="B85:D85">
    <cfRule type="expression" dxfId="23" priority="12" stopIfTrue="1">
      <formula>NOT($K85)</formula>
    </cfRule>
  </conditionalFormatting>
  <conditionalFormatting sqref="C12:D12">
    <cfRule type="expression" dxfId="22" priority="11" stopIfTrue="1">
      <formula>NOT($K12)</formula>
    </cfRule>
  </conditionalFormatting>
  <conditionalFormatting sqref="D4:D6 D44:D49 D64:D65 E12 D22:E35 D37:E41 D51:E51 D53:E55 D57:E58 D67 C15:C20 D16:D20">
    <cfRule type="expression" dxfId="21" priority="8" stopIfTrue="1">
      <formula>NOT(K4)</formula>
    </cfRule>
  </conditionalFormatting>
  <conditionalFormatting sqref="E15:E20">
    <cfRule type="expression" dxfId="20" priority="29" stopIfTrue="1">
      <formula>NOT(M15)</formula>
    </cfRule>
  </conditionalFormatting>
  <conditionalFormatting sqref="D60:E61">
    <cfRule type="expression" dxfId="19" priority="3" stopIfTrue="1">
      <formula>NOT(L60)</formula>
    </cfRule>
  </conditionalFormatting>
  <conditionalFormatting sqref="I59">
    <cfRule type="expression" dxfId="18" priority="2" stopIfTrue="1">
      <formula>$O59</formula>
    </cfRule>
  </conditionalFormatting>
  <conditionalFormatting sqref="D11:E11">
    <cfRule type="expression" dxfId="17" priority="1" stopIfTrue="1">
      <formula>NOT($L11)</formula>
    </cfRule>
  </conditionalFormatting>
  <dataValidations count="4">
    <dataValidation type="list" allowBlank="1" showInputMessage="1" sqref="D4" xr:uid="{00000000-0002-0000-0300-000000000000}">
      <formula1>$Q$3:$Q$4</formula1>
    </dataValidation>
    <dataValidation type="list" allowBlank="1" showInputMessage="1" sqref="D5" xr:uid="{00000000-0002-0000-0300-000001000000}">
      <formula1>$Q$6:$Q$8</formula1>
    </dataValidation>
    <dataValidation type="list" allowBlank="1" showInputMessage="1" sqref="C12:D12" xr:uid="{00000000-0002-0000-0300-000002000000}">
      <formula1>$Q$17:$Q$19</formula1>
    </dataValidation>
    <dataValidation type="list" allowBlank="1" showInputMessage="1" sqref="D11:E11" xr:uid="{00000000-0002-0000-0300-000003000000}">
      <formula1>$Q$11:$Q$15</formula1>
    </dataValidation>
  </dataValidations>
  <pageMargins left="0.78740157499999996" right="0.78740157499999996" top="0.984251969" bottom="0.984251969" header="0.4921259845" footer="0.4921259845"/>
  <pageSetup paperSize="9" orientation="portrait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7" r:id="rId4" name="Check Box 23">
              <controlPr defaultSize="0" autoFill="0" autoLine="0" autoPict="0">
                <anchor moveWithCells="1">
                  <from>
                    <xdr:col>2</xdr:col>
                    <xdr:colOff>9525</xdr:colOff>
                    <xdr:row>7</xdr:row>
                    <xdr:rowOff>133350</xdr:rowOff>
                  </from>
                  <to>
                    <xdr:col>3</xdr:col>
                    <xdr:colOff>209550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" name="Check Box 81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142875</xdr:rowOff>
                  </from>
                  <to>
                    <xdr:col>3</xdr:col>
                    <xdr:colOff>209550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2</xdr:col>
                    <xdr:colOff>9525</xdr:colOff>
                    <xdr:row>14</xdr:row>
                    <xdr:rowOff>133350</xdr:rowOff>
                  </from>
                  <to>
                    <xdr:col>3</xdr:col>
                    <xdr:colOff>219075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2</xdr:col>
                    <xdr:colOff>9525</xdr:colOff>
                    <xdr:row>15</xdr:row>
                    <xdr:rowOff>133350</xdr:rowOff>
                  </from>
                  <to>
                    <xdr:col>3</xdr:col>
                    <xdr:colOff>219075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133350</xdr:rowOff>
                  </from>
                  <to>
                    <xdr:col>3</xdr:col>
                    <xdr:colOff>219075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" name="Check Box 108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133350</xdr:rowOff>
                  </from>
                  <to>
                    <xdr:col>3</xdr:col>
                    <xdr:colOff>209550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133350</xdr:rowOff>
                  </from>
                  <to>
                    <xdr:col>3</xdr:col>
                    <xdr:colOff>209550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" name="Check Box 110">
              <controlPr defaultSize="0" autoFill="0" autoLine="0" autoPict="0">
                <anchor moveWithCells="1">
                  <from>
                    <xdr:col>2</xdr:col>
                    <xdr:colOff>9525</xdr:colOff>
                    <xdr:row>64</xdr:row>
                    <xdr:rowOff>133350</xdr:rowOff>
                  </from>
                  <to>
                    <xdr:col>3</xdr:col>
                    <xdr:colOff>209550</xdr:colOff>
                    <xdr:row>66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R56"/>
  <sheetViews>
    <sheetView workbookViewId="0">
      <selection activeCell="B5" sqref="B5"/>
    </sheetView>
  </sheetViews>
  <sheetFormatPr baseColWidth="10" defaultColWidth="11.42578125" defaultRowHeight="12.75" x14ac:dyDescent="0.2"/>
  <cols>
    <col min="1" max="1" width="2.7109375" style="588" customWidth="1"/>
    <col min="2" max="2" width="15.7109375" style="588" customWidth="1"/>
    <col min="3" max="4" width="11.42578125" style="588"/>
    <col min="5" max="5" width="14.7109375" style="588" bestFit="1" customWidth="1"/>
    <col min="6" max="6" width="25.28515625" style="588" bestFit="1" customWidth="1"/>
    <col min="7" max="7" width="9.7109375" style="588" customWidth="1"/>
    <col min="8" max="9" width="15.7109375" style="588" customWidth="1"/>
    <col min="10" max="10" width="11.42578125" style="588"/>
    <col min="11" max="17" width="0" style="596" hidden="1" customWidth="1"/>
    <col min="19" max="16384" width="11.42578125" style="588"/>
  </cols>
  <sheetData>
    <row r="1" spans="1:17" ht="13.5" thickBot="1" x14ac:dyDescent="0.25">
      <c r="B1" s="482" t="s">
        <v>200</v>
      </c>
      <c r="C1" s="483"/>
      <c r="D1" s="484"/>
      <c r="K1" s="596" t="s">
        <v>636</v>
      </c>
      <c r="P1" s="596" t="s">
        <v>649</v>
      </c>
      <c r="Q1" s="596" t="s">
        <v>638</v>
      </c>
    </row>
    <row r="2" spans="1:17" x14ac:dyDescent="0.2">
      <c r="B2" s="51" t="s">
        <v>148</v>
      </c>
      <c r="P2" s="596" t="s">
        <v>650</v>
      </c>
    </row>
    <row r="3" spans="1:17" ht="13.5" thickBot="1" x14ac:dyDescent="0.25">
      <c r="Q3" s="596" t="s">
        <v>163</v>
      </c>
    </row>
    <row r="4" spans="1:17" ht="13.5" thickBot="1" x14ac:dyDescent="0.25">
      <c r="A4" s="59" t="s">
        <v>360</v>
      </c>
      <c r="B4" s="584" t="s">
        <v>152</v>
      </c>
      <c r="C4" s="584" t="s">
        <v>153</v>
      </c>
      <c r="D4" s="584" t="s">
        <v>154</v>
      </c>
      <c r="E4" s="584" t="s">
        <v>190</v>
      </c>
      <c r="F4" s="584" t="s">
        <v>191</v>
      </c>
      <c r="G4" s="584" t="s">
        <v>155</v>
      </c>
      <c r="H4" s="584" t="s">
        <v>199</v>
      </c>
      <c r="I4" s="485" t="s">
        <v>156</v>
      </c>
      <c r="Q4" s="596" t="str">
        <f>"-Punkte über Basiszinssatz"</f>
        <v>-Punkte über Basiszinssatz</v>
      </c>
    </row>
    <row r="5" spans="1:17" x14ac:dyDescent="0.2">
      <c r="B5" s="646">
        <v>1000</v>
      </c>
      <c r="C5" s="648"/>
      <c r="D5" s="648"/>
      <c r="E5" s="688">
        <v>0.05</v>
      </c>
      <c r="F5" s="649" t="s">
        <v>678</v>
      </c>
      <c r="G5" s="486" t="str">
        <f>IF(AND(L5,M5,IF(ISERROR(C5),FALSE,C5&gt;0)),HF_ZR!K$74,"")</f>
        <v/>
      </c>
      <c r="H5" s="487" t="str">
        <f>IF(AND($K$5,L5:O5,IF(ISERROR(C5),FALSE,C5&gt;0),IF(ISERROR(E5),FALSE,AND(E5&gt;=0,E5&lt;&gt;""))),HF_ZR!$L$74,"")</f>
        <v/>
      </c>
      <c r="I5" s="488" t="str">
        <f>IF(H5&lt;&gt;"",$B$5+SUM(H5),"")</f>
        <v/>
      </c>
      <c r="K5" s="596" t="b">
        <f>IF(OR(ISERROR(B5),ISTEXT(B5)),FALSE,NOT(OR(B5&lt;0,B5="")))</f>
        <v>1</v>
      </c>
      <c r="L5" s="596" t="b">
        <f>IF(OR(ISERROR(C5),ISTEXT(C5)),FALSE,NOT(OR(AND(C5=0,C5&lt;&gt;""),C5&lt;0,AND(C5="",H6&amp;H7=""),IF(ISERROR(D5),FALSE,OR(AND(C5&gt;D5,D5&gt;0),AND(D5&gt;0,NOT(ISTEXT(D5)),C5=""))))))</f>
        <v>0</v>
      </c>
      <c r="M5" s="596" t="b">
        <f>IF(OR(ISERROR(D5),ISTEXT(D5)),FALSE,NOT(OR(AND(D5=0,D5&lt;&gt;""),D5&lt;0,AND(D5="",H6&amp;H7=""),IF(ISERROR(C5),FALSE,OR(AND(D5&lt;C5,D5&gt;0),AND(C5&gt;0,NOT(ISTEXT(C5)),D5=""))))))</f>
        <v>0</v>
      </c>
      <c r="N5" s="596" t="b">
        <f t="array" ref="N5">IF(OR(ISERROR(E5),ISTEXT(E5)),FALSE,NOT(OR(E5&lt;0,E5&gt;1,E5-ROUNDDOWN(E5,6)&gt;0,AND(E5="",OR(EXACT(F5,$Q$3:$Q$4),H6&amp;H7="")))))</f>
        <v>1</v>
      </c>
      <c r="O5" s="596" t="b">
        <f t="array" ref="O5">OR(EXACT(F5,Q$3:Q$4),AND(F5="",IF(ISERROR(E5),TRUE,OR(E5="",E5&lt;0,E5&gt;1)),H6&amp;H7&lt;&gt;""))</f>
        <v>1</v>
      </c>
      <c r="P5" s="596" t="b">
        <f>IF(AND(L5,M5),NOT(AND(F5="-Punkte über Basiszinssatz",H5&lt;&gt;"",OR(C5&lt;SUMIF(HF_ZR!$C$8:$C$73,"a",HF_ZR!$A$8:$A$73),D5&gt;SUMIF(HF_ZR!$C$8:$C$73,"e",HF_ZR!$B$8:$B$73)))),TRUE)</f>
        <v>1</v>
      </c>
    </row>
    <row r="6" spans="1:17" x14ac:dyDescent="0.2">
      <c r="B6" s="647"/>
      <c r="C6" s="373"/>
      <c r="D6" s="489"/>
      <c r="E6" s="689"/>
      <c r="F6" s="372"/>
      <c r="G6" s="486" t="str">
        <f>IF(AND(L6,M6,IF(ISERROR(C6),FALSE,C6&gt;0)),HF_ZR!R$74,"")</f>
        <v/>
      </c>
      <c r="H6" s="487" t="str">
        <f>IF(AND($K$5,L6:O6,IF(ISERROR(C6),FALSE,C6&gt;0),IF(ISERROR(E6),FALSE,AND(E6&gt;=0,E6&lt;&gt;""))),HF_ZR!$S$74,"")</f>
        <v/>
      </c>
      <c r="I6" s="488" t="str">
        <f>IF(H6&lt;&gt;"",$B$5+SUM(H5:H6),"")</f>
        <v/>
      </c>
      <c r="L6" s="596" t="b">
        <f>IF(OR(ISERROR(C6),ISTEXT(C6)),FALSE,NOT(OR(AND(C6=0,C6&lt;&gt;""),C6&lt;0,IF(ISERROR(D6),FALSE,OR(AND(C6&gt;D6,D6&gt;0),AND(D6&gt;0,NOT(ISTEXT(D6)),C6=""))))))</f>
        <v>1</v>
      </c>
      <c r="M6" s="596" t="b">
        <f>IF(OR(ISERROR(D6),ISTEXT(D6)),FALSE,NOT(OR(AND(D6=0,D6&lt;&gt;""),D6&lt;0,IF(ISERROR(C6),FALSE,OR(AND(D6&lt;C6,D6&gt;0),AND(C6&gt;0,NOT(ISTEXT(C6)),D6=""))))))</f>
        <v>1</v>
      </c>
      <c r="N6" s="596" t="b">
        <f t="array" ref="N6">IF(OR(ISERROR(E6),ISTEXT(E6)),FALSE,NOT(OR(E6&lt;0,E6&gt;1,E6-ROUNDDOWN(E6,6)&gt;0,AND(E6="",OR(EXACT(F6,$Q$3:$Q$4))))))</f>
        <v>1</v>
      </c>
      <c r="O6" s="596" t="b">
        <f t="array" ref="O6">OR(EXACT(F6,Q$3:Q$4),AND(F6="",IF(ISERROR(E6),TRUE,OR(E6="",E6&lt;0,E6&gt;1))))</f>
        <v>1</v>
      </c>
      <c r="P6" s="596" t="b">
        <f>IF(AND(L6,M6),NOT(AND(F6="-Punkte über Basiszinssatz",H6&lt;&gt;"",OR(C6&lt;SUMIF(HF_ZR!$C$8:$C$73,"a",HF_ZR!$A$8:$A$73),D6&gt;SUMIF(HF_ZR!$C$8:$C$73,"e",HF_ZR!$B$8:$B$73)))),TRUE)</f>
        <v>1</v>
      </c>
    </row>
    <row r="7" spans="1:17" ht="13.5" thickBot="1" x14ac:dyDescent="0.25">
      <c r="B7" s="490"/>
      <c r="C7" s="491"/>
      <c r="D7" s="492"/>
      <c r="E7" s="690"/>
      <c r="F7" s="493"/>
      <c r="G7" s="494" t="str">
        <f>IF(AND(L7,M7,IF(ISERROR(C7),FALSE,C7&gt;0)),HF_ZR!Y$74,"")</f>
        <v/>
      </c>
      <c r="H7" s="495" t="str">
        <f>IF(AND($K$5,L7:O7,IF(ISERROR(C7),FALSE,C7&gt;0),IF(ISERROR(E7),FALSE,AND(E7&gt;=0,E7&lt;&gt;""))),HF_ZR!$Z$74,"")</f>
        <v/>
      </c>
      <c r="I7" s="82" t="str">
        <f>IF(OR(H5&lt;&gt;"",H6&lt;&gt;"",H7&lt;&gt;""),$B$5+SUM(H5:H7),"")</f>
        <v/>
      </c>
      <c r="L7" s="596" t="b">
        <f>IF(OR(ISERROR(C7),ISTEXT(C7)),FALSE,NOT(OR(AND(C7=0,C7&lt;&gt;""),C7&lt;0,IF(ISERROR(D7),FALSE,OR(AND(C7&gt;D7,D7&gt;0),AND(D7&gt;0,NOT(ISTEXT(D7)),C7=""))))))</f>
        <v>1</v>
      </c>
      <c r="M7" s="596" t="b">
        <f>IF(OR(ISERROR(D7),ISTEXT(D7)),FALSE,NOT(OR(AND(D7=0,D7&lt;&gt;""),D7&lt;0,IF(ISERROR(C7),FALSE,OR(AND(D7&lt;C7,D7&gt;0),AND(C7&gt;0,NOT(ISTEXT(C7)),D7=""))))))</f>
        <v>1</v>
      </c>
      <c r="N7" s="596" t="b">
        <f t="array" ref="N7">IF(OR(ISERROR(E7),ISTEXT(E7)),FALSE,NOT(OR(E7&lt;0,E7&gt;1,E7-ROUNDDOWN(E7,6)&gt;0,AND(E7="",OR(EXACT(F7,$Q$3:$Q$4))))))</f>
        <v>1</v>
      </c>
      <c r="O7" s="596" t="b">
        <f t="array" ref="O7">OR(EXACT(F7,Q$3:Q$4),AND(F7="",IF(ISERROR(E7),TRUE,OR(E7="",E7&lt;0,E7&gt;1))))</f>
        <v>1</v>
      </c>
      <c r="P7" s="596" t="b">
        <f>IF(AND(L7,M7),NOT(AND(F7="-Punkte über Basiszinssatz",H7&lt;&gt;"",OR(C7&lt;SUMIF(HF_ZR!$C$8:$C$73,"a",HF_ZR!$A$8:$A$73),D7&gt;SUMIF(HF_ZR!$C$8:$C$73,"e",HF_ZR!$B$8:$B$73)))),TRUE)</f>
        <v>1</v>
      </c>
    </row>
    <row r="8" spans="1:17" ht="13.5" thickBot="1" x14ac:dyDescent="0.25">
      <c r="C8" s="496"/>
      <c r="D8" s="496"/>
      <c r="E8" s="497"/>
      <c r="F8" s="408"/>
      <c r="G8" s="498"/>
      <c r="H8" s="67"/>
    </row>
    <row r="9" spans="1:17" ht="13.5" thickBot="1" x14ac:dyDescent="0.25">
      <c r="A9" s="637" t="s">
        <v>28</v>
      </c>
      <c r="B9" s="620" t="s">
        <v>6</v>
      </c>
      <c r="C9" s="638">
        <f ca="1">TODAY()</f>
        <v>46203</v>
      </c>
      <c r="D9" s="496"/>
      <c r="E9" s="497"/>
      <c r="F9" s="408"/>
      <c r="G9" s="498"/>
      <c r="H9" s="67"/>
      <c r="P9" s="604"/>
    </row>
    <row r="10" spans="1:17" ht="13.5" thickBot="1" x14ac:dyDescent="0.25">
      <c r="B10" s="639" t="s">
        <v>158</v>
      </c>
      <c r="C10" s="640">
        <f ca="1">HF_ZR!D74</f>
        <v>1.2700000000000045E-2</v>
      </c>
      <c r="D10" s="496"/>
      <c r="E10" s="497"/>
      <c r="F10" s="408"/>
      <c r="G10" s="498"/>
      <c r="H10" s="67"/>
      <c r="P10" s="604" t="b">
        <f ca="1">NOT(OR(C9&lt;SUMIF(HF_ZR!$C9:$C73,"a",HF_ZR!$A9:$A73),C9&gt;SUMIF(HF_ZR!$C9:$C73,"e",HF_ZR!$B9:$B73)))</f>
        <v>1</v>
      </c>
    </row>
    <row r="11" spans="1:17" ht="13.5" thickBot="1" x14ac:dyDescent="0.25">
      <c r="C11" s="496"/>
      <c r="D11" s="496"/>
      <c r="E11" s="497"/>
      <c r="F11" s="408"/>
      <c r="G11" s="498"/>
      <c r="H11" s="67"/>
    </row>
    <row r="12" spans="1:17" ht="13.5" thickBot="1" x14ac:dyDescent="0.25">
      <c r="A12" s="84" t="s">
        <v>29</v>
      </c>
      <c r="B12" s="85" t="s">
        <v>159</v>
      </c>
      <c r="C12" s="499"/>
      <c r="D12" s="499"/>
      <c r="E12" s="86"/>
      <c r="F12" s="500"/>
      <c r="G12" s="501"/>
      <c r="H12" s="500"/>
      <c r="I12" s="502"/>
    </row>
    <row r="13" spans="1:17" x14ac:dyDescent="0.2">
      <c r="B13" s="92" t="s">
        <v>160</v>
      </c>
      <c r="C13" s="503"/>
      <c r="D13" s="503"/>
      <c r="E13" s="90"/>
      <c r="F13" s="504"/>
      <c r="G13" s="505"/>
      <c r="H13" s="504"/>
      <c r="I13" s="506"/>
    </row>
    <row r="14" spans="1:17" x14ac:dyDescent="0.2">
      <c r="B14" s="100" t="s">
        <v>115</v>
      </c>
      <c r="C14" s="503"/>
      <c r="D14" s="504" t="s">
        <v>161</v>
      </c>
      <c r="E14" s="90"/>
      <c r="F14" s="504"/>
      <c r="G14" s="90" t="s">
        <v>162</v>
      </c>
      <c r="H14" s="504"/>
      <c r="I14" s="506"/>
    </row>
    <row r="15" spans="1:17" x14ac:dyDescent="0.2">
      <c r="B15" s="100" t="s">
        <v>178</v>
      </c>
      <c r="C15" s="503"/>
      <c r="D15" s="504" t="s">
        <v>541</v>
      </c>
      <c r="E15" s="90"/>
      <c r="F15" s="504"/>
      <c r="G15" s="90" t="s">
        <v>162</v>
      </c>
      <c r="H15" s="504"/>
      <c r="I15" s="506"/>
    </row>
    <row r="16" spans="1:17" x14ac:dyDescent="0.2">
      <c r="B16" s="100" t="s">
        <v>179</v>
      </c>
      <c r="C16" s="503"/>
      <c r="D16" s="504" t="s">
        <v>541</v>
      </c>
      <c r="E16" s="90"/>
      <c r="F16" s="504"/>
      <c r="G16" s="90" t="s">
        <v>180</v>
      </c>
      <c r="H16" s="504"/>
      <c r="I16" s="506"/>
    </row>
    <row r="17" spans="1:18" x14ac:dyDescent="0.2">
      <c r="B17" s="92" t="s">
        <v>181</v>
      </c>
      <c r="C17" s="503"/>
      <c r="D17" s="504"/>
      <c r="E17" s="90"/>
      <c r="F17" s="504"/>
      <c r="G17" s="90"/>
      <c r="H17" s="504"/>
      <c r="I17" s="506"/>
    </row>
    <row r="18" spans="1:18" x14ac:dyDescent="0.2">
      <c r="B18" s="100" t="s">
        <v>115</v>
      </c>
      <c r="C18" s="503"/>
      <c r="D18" s="504" t="s">
        <v>161</v>
      </c>
      <c r="E18" s="90"/>
      <c r="F18" s="504"/>
      <c r="G18" s="90" t="s">
        <v>162</v>
      </c>
      <c r="H18" s="504"/>
      <c r="I18" s="506"/>
    </row>
    <row r="19" spans="1:18" x14ac:dyDescent="0.2">
      <c r="B19" s="100" t="s">
        <v>178</v>
      </c>
      <c r="C19" s="503"/>
      <c r="D19" s="504" t="s">
        <v>541</v>
      </c>
      <c r="E19" s="90"/>
      <c r="F19" s="504"/>
      <c r="G19" s="90" t="s">
        <v>162</v>
      </c>
      <c r="H19" s="504"/>
      <c r="I19" s="506"/>
    </row>
    <row r="20" spans="1:18" x14ac:dyDescent="0.2">
      <c r="B20" s="100" t="s">
        <v>167</v>
      </c>
      <c r="C20" s="503"/>
      <c r="D20" s="504" t="s">
        <v>542</v>
      </c>
      <c r="E20" s="90"/>
      <c r="F20" s="504"/>
      <c r="G20" s="90" t="s">
        <v>182</v>
      </c>
      <c r="H20" s="504"/>
      <c r="I20" s="506"/>
    </row>
    <row r="21" spans="1:18" x14ac:dyDescent="0.2">
      <c r="B21" s="100" t="s">
        <v>168</v>
      </c>
      <c r="C21" s="503"/>
      <c r="D21" s="504" t="s">
        <v>169</v>
      </c>
      <c r="E21" s="90"/>
      <c r="F21" s="504"/>
      <c r="G21" s="90" t="s">
        <v>182</v>
      </c>
      <c r="H21" s="504"/>
      <c r="I21" s="506"/>
    </row>
    <row r="22" spans="1:18" x14ac:dyDescent="0.2">
      <c r="B22" s="92" t="s">
        <v>183</v>
      </c>
      <c r="C22" s="503"/>
      <c r="D22" s="504"/>
      <c r="E22" s="90"/>
      <c r="F22" s="504"/>
      <c r="G22" s="90"/>
      <c r="H22" s="504"/>
      <c r="I22" s="506"/>
    </row>
    <row r="23" spans="1:18" x14ac:dyDescent="0.2">
      <c r="B23" s="100" t="s">
        <v>115</v>
      </c>
      <c r="C23" s="503"/>
      <c r="D23" s="504" t="s">
        <v>184</v>
      </c>
      <c r="E23" s="90"/>
      <c r="F23" s="504"/>
      <c r="G23" s="90" t="s">
        <v>185</v>
      </c>
      <c r="H23" s="504"/>
      <c r="I23" s="506"/>
    </row>
    <row r="24" spans="1:18" x14ac:dyDescent="0.2">
      <c r="B24" s="100" t="s">
        <v>188</v>
      </c>
      <c r="C24" s="503"/>
      <c r="D24" s="504" t="s">
        <v>550</v>
      </c>
      <c r="E24" s="90"/>
      <c r="F24" s="504"/>
      <c r="G24" s="90" t="s">
        <v>674</v>
      </c>
      <c r="H24" s="504"/>
      <c r="I24" s="506"/>
    </row>
    <row r="25" spans="1:18" x14ac:dyDescent="0.2">
      <c r="B25" s="92" t="s">
        <v>189</v>
      </c>
      <c r="C25" s="503"/>
      <c r="D25" s="504"/>
      <c r="E25" s="90"/>
      <c r="F25" s="504"/>
      <c r="G25" s="90"/>
      <c r="H25" s="504"/>
      <c r="I25" s="506"/>
    </row>
    <row r="26" spans="1:18" ht="13.5" thickBot="1" x14ac:dyDescent="0.25">
      <c r="B26" s="273" t="s">
        <v>116</v>
      </c>
      <c r="C26" s="507"/>
      <c r="D26" s="508" t="s">
        <v>184</v>
      </c>
      <c r="E26" s="104"/>
      <c r="F26" s="508"/>
      <c r="G26" s="104" t="s">
        <v>549</v>
      </c>
      <c r="H26" s="508"/>
      <c r="I26" s="509"/>
    </row>
    <row r="27" spans="1:18" ht="13.5" thickBot="1" x14ac:dyDescent="0.25">
      <c r="C27" s="496"/>
      <c r="D27" s="496"/>
      <c r="E27" s="497"/>
      <c r="F27" s="408"/>
      <c r="G27" s="498"/>
      <c r="H27" s="67"/>
    </row>
    <row r="28" spans="1:18" s="618" customFormat="1" ht="13.5" thickBot="1" x14ac:dyDescent="0.25">
      <c r="A28" s="614" t="s">
        <v>30</v>
      </c>
      <c r="B28" s="615" t="s">
        <v>652</v>
      </c>
      <c r="C28" s="641"/>
      <c r="D28" s="641"/>
      <c r="E28" s="642"/>
      <c r="F28" s="643"/>
      <c r="G28" s="498"/>
      <c r="H28" s="67"/>
      <c r="K28" s="596"/>
      <c r="L28" s="596"/>
      <c r="M28" s="596"/>
      <c r="N28" s="596"/>
      <c r="O28" s="596"/>
      <c r="P28" s="596"/>
      <c r="Q28" s="596"/>
      <c r="R28"/>
    </row>
    <row r="29" spans="1:18" s="605" customFormat="1" ht="13.5" thickBot="1" x14ac:dyDescent="0.25">
      <c r="B29" s="786" t="str">
        <f>IF(K29,"Alle Eingaben sind formal fehlerfrei.","Die rot gefärbten Felder enthalten fehlerhafte oder keine Eingaben!")</f>
        <v>Die rot gefärbten Felder enthalten fehlerhafte oder keine Eingaben!</v>
      </c>
      <c r="C29" s="803"/>
      <c r="D29" s="803"/>
      <c r="E29" s="803"/>
      <c r="F29" s="787"/>
      <c r="G29" s="498"/>
      <c r="H29" s="67"/>
      <c r="K29" s="596" t="b">
        <f>AND(K5,L5:O7)</f>
        <v>0</v>
      </c>
      <c r="L29" s="596"/>
      <c r="M29" s="596"/>
      <c r="N29" s="596"/>
      <c r="O29" s="596"/>
      <c r="P29" s="596"/>
      <c r="Q29" s="596"/>
    </row>
    <row r="30" spans="1:18" s="605" customFormat="1" x14ac:dyDescent="0.2">
      <c r="C30" s="496"/>
      <c r="D30" s="496"/>
      <c r="E30" s="497"/>
      <c r="F30" s="408"/>
      <c r="G30" s="498"/>
      <c r="H30" s="67"/>
      <c r="K30" s="596"/>
      <c r="L30" s="596"/>
      <c r="M30" s="596"/>
      <c r="N30" s="596"/>
      <c r="O30" s="596"/>
      <c r="P30" s="596"/>
      <c r="Q30" s="596"/>
    </row>
    <row r="31" spans="1:18" x14ac:dyDescent="0.2">
      <c r="B31" s="282" t="str">
        <f>Übersicht!A30</f>
        <v>Haftungsausschluss</v>
      </c>
      <c r="C31" s="496"/>
      <c r="D31" s="496"/>
      <c r="E31" s="497"/>
      <c r="F31" s="408"/>
      <c r="G31" s="498"/>
      <c r="H31" s="67"/>
    </row>
    <row r="32" spans="1:18" x14ac:dyDescent="0.2">
      <c r="B32" s="58" t="str">
        <f>Übersicht!A31</f>
        <v>Für die Richtigkeit der rechtlichen Bewertungen und der Berechnungsergebnisse besteht trotz sorgfältiger Bearbeitung und Prüfung keine Gewähr.</v>
      </c>
      <c r="C32" s="496"/>
      <c r="D32" s="496"/>
      <c r="E32" s="497"/>
      <c r="F32" s="408"/>
      <c r="G32" s="498"/>
      <c r="H32" s="67"/>
    </row>
    <row r="33" spans="1:8" x14ac:dyDescent="0.2">
      <c r="C33" s="496"/>
      <c r="D33" s="496"/>
      <c r="E33" s="497"/>
      <c r="F33" s="408"/>
      <c r="G33" s="498"/>
      <c r="H33" s="67"/>
    </row>
    <row r="34" spans="1:8" x14ac:dyDescent="0.2">
      <c r="B34" s="119" t="s">
        <v>150</v>
      </c>
    </row>
    <row r="35" spans="1:8" x14ac:dyDescent="0.2">
      <c r="A35" s="120" t="s">
        <v>360</v>
      </c>
      <c r="B35" s="121" t="s">
        <v>537</v>
      </c>
    </row>
    <row r="36" spans="1:8" x14ac:dyDescent="0.2">
      <c r="B36" s="51" t="s">
        <v>538</v>
      </c>
    </row>
    <row r="37" spans="1:8" x14ac:dyDescent="0.2">
      <c r="B37" s="51" t="s">
        <v>543</v>
      </c>
    </row>
    <row r="38" spans="1:8" x14ac:dyDescent="0.2">
      <c r="B38" s="51" t="s">
        <v>544</v>
      </c>
    </row>
    <row r="39" spans="1:8" x14ac:dyDescent="0.2">
      <c r="B39" s="121" t="s">
        <v>770</v>
      </c>
    </row>
    <row r="40" spans="1:8" x14ac:dyDescent="0.2">
      <c r="B40" s="51" t="s">
        <v>771</v>
      </c>
    </row>
    <row r="41" spans="1:8" x14ac:dyDescent="0.2">
      <c r="B41" s="51" t="s">
        <v>772</v>
      </c>
    </row>
    <row r="42" spans="1:8" x14ac:dyDescent="0.2">
      <c r="B42" s="51" t="s">
        <v>842</v>
      </c>
    </row>
    <row r="43" spans="1:8" x14ac:dyDescent="0.2">
      <c r="B43" s="51" t="s">
        <v>751</v>
      </c>
    </row>
    <row r="44" spans="1:8" x14ac:dyDescent="0.2">
      <c r="B44" s="51" t="s">
        <v>756</v>
      </c>
    </row>
    <row r="45" spans="1:8" x14ac:dyDescent="0.2">
      <c r="B45" s="121" t="s">
        <v>539</v>
      </c>
    </row>
    <row r="46" spans="1:8" x14ac:dyDescent="0.2">
      <c r="B46" s="51" t="s">
        <v>886</v>
      </c>
    </row>
    <row r="47" spans="1:8" x14ac:dyDescent="0.2">
      <c r="B47" s="121" t="s">
        <v>623</v>
      </c>
    </row>
    <row r="48" spans="1:8" x14ac:dyDescent="0.2">
      <c r="B48" s="51" t="s">
        <v>668</v>
      </c>
    </row>
    <row r="49" spans="1:2" x14ac:dyDescent="0.2">
      <c r="B49" s="588" t="s">
        <v>669</v>
      </c>
    </row>
    <row r="50" spans="1:2" x14ac:dyDescent="0.2">
      <c r="B50" s="588" t="s">
        <v>670</v>
      </c>
    </row>
    <row r="51" spans="1:2" x14ac:dyDescent="0.2">
      <c r="B51" s="51" t="s">
        <v>671</v>
      </c>
    </row>
    <row r="52" spans="1:2" x14ac:dyDescent="0.2">
      <c r="B52" s="51" t="s">
        <v>540</v>
      </c>
    </row>
    <row r="53" spans="1:2" x14ac:dyDescent="0.2">
      <c r="A53" s="120" t="s">
        <v>28</v>
      </c>
      <c r="B53" s="121" t="s">
        <v>646</v>
      </c>
    </row>
    <row r="54" spans="1:2" x14ac:dyDescent="0.2">
      <c r="B54" s="51" t="s">
        <v>647</v>
      </c>
    </row>
    <row r="55" spans="1:2" x14ac:dyDescent="0.2">
      <c r="B55" s="51" t="s">
        <v>648</v>
      </c>
    </row>
    <row r="56" spans="1:2" x14ac:dyDescent="0.2">
      <c r="A56" s="120" t="s">
        <v>29</v>
      </c>
      <c r="B56" s="121" t="s">
        <v>675</v>
      </c>
    </row>
  </sheetData>
  <sheetProtection sheet="1" objects="1" scenarios="1"/>
  <mergeCells count="1">
    <mergeCell ref="B29:F29"/>
  </mergeCells>
  <phoneticPr fontId="0" type="noConversion"/>
  <conditionalFormatting sqref="B5 C5:F7">
    <cfRule type="expression" dxfId="16" priority="9" stopIfTrue="1">
      <formula>NOT(K5)</formula>
    </cfRule>
  </conditionalFormatting>
  <conditionalFormatting sqref="B29:F29">
    <cfRule type="expression" dxfId="15" priority="1" stopIfTrue="1">
      <formula>NOT($K29)</formula>
    </cfRule>
  </conditionalFormatting>
  <conditionalFormatting sqref="I5 C10 H5:H7">
    <cfRule type="expression" dxfId="14" priority="15" stopIfTrue="1">
      <formula>NOT($P5)</formula>
    </cfRule>
  </conditionalFormatting>
  <conditionalFormatting sqref="I6">
    <cfRule type="expression" dxfId="13" priority="17" stopIfTrue="1">
      <formula>NOT(AND($P5,$P6))</formula>
    </cfRule>
  </conditionalFormatting>
  <conditionalFormatting sqref="I7">
    <cfRule type="expression" dxfId="12" priority="18" stopIfTrue="1">
      <formula>NOT(AND($P5:$P7))</formula>
    </cfRule>
  </conditionalFormatting>
  <dataValidations count="1">
    <dataValidation type="list" allowBlank="1" showInputMessage="1" sqref="F5:F7" xr:uid="{00000000-0002-0000-0400-000000000000}">
      <formula1>$Q$3:$Q$4</formula1>
    </dataValidation>
  </dataValidations>
  <pageMargins left="0.78740157499999996" right="0.78740157499999996" top="0.984251969" bottom="0.984251969" header="0.4921259845" footer="0.4921259845"/>
  <pageSetup paperSize="9" orientation="portrait" verticalDpi="59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AB117"/>
  <sheetViews>
    <sheetView workbookViewId="0">
      <pane ySplit="7" topLeftCell="A8" activePane="bottomLeft" state="frozen"/>
      <selection pane="bottomLeft" activeCell="I4" sqref="I4"/>
    </sheetView>
  </sheetViews>
  <sheetFormatPr baseColWidth="10" defaultColWidth="11.42578125" defaultRowHeight="12.75" x14ac:dyDescent="0.2"/>
  <cols>
    <col min="1" max="1" width="2.7109375" style="588" customWidth="1"/>
    <col min="2" max="2" width="61.42578125" style="588" customWidth="1"/>
    <col min="3" max="7" width="8.140625" style="588" customWidth="1"/>
    <col min="8" max="8" width="14.5703125" style="511" bestFit="1" customWidth="1"/>
    <col min="9" max="10" width="11.5703125" style="588" customWidth="1"/>
    <col min="11" max="11" width="5" style="588" bestFit="1" customWidth="1"/>
    <col min="12" max="12" width="9.5703125" style="588" bestFit="1" customWidth="1"/>
    <col min="13" max="13" width="7" style="588" bestFit="1" customWidth="1"/>
    <col min="14" max="14" width="14.5703125" style="588" customWidth="1"/>
    <col min="15" max="15" width="11.5703125" style="588" customWidth="1"/>
    <col min="16" max="16" width="11.42578125" style="588"/>
    <col min="17" max="28" width="0" style="596" hidden="1" customWidth="1"/>
    <col min="29" max="16384" width="11.42578125" style="588"/>
  </cols>
  <sheetData>
    <row r="1" spans="1:28" ht="13.5" thickBot="1" x14ac:dyDescent="0.25">
      <c r="B1" s="510" t="s">
        <v>316</v>
      </c>
      <c r="Q1" s="596" t="s">
        <v>636</v>
      </c>
      <c r="X1" s="596" t="s">
        <v>677</v>
      </c>
      <c r="Y1" s="596" t="s">
        <v>649</v>
      </c>
      <c r="Z1" s="596" t="s">
        <v>479</v>
      </c>
      <c r="AB1" s="596" t="s">
        <v>638</v>
      </c>
    </row>
    <row r="2" spans="1:28" x14ac:dyDescent="0.2">
      <c r="B2" s="51" t="s">
        <v>148</v>
      </c>
      <c r="C2" s="51"/>
      <c r="D2" s="51"/>
      <c r="Y2" s="596" t="s">
        <v>651</v>
      </c>
    </row>
    <row r="3" spans="1:28" ht="13.5" thickBot="1" x14ac:dyDescent="0.25"/>
    <row r="4" spans="1:28" ht="13.5" thickBot="1" x14ac:dyDescent="0.25">
      <c r="A4" s="52" t="s">
        <v>360</v>
      </c>
      <c r="B4" s="512" t="s">
        <v>672</v>
      </c>
      <c r="C4" s="512"/>
      <c r="D4" s="512"/>
      <c r="E4" s="513"/>
      <c r="F4" s="513"/>
      <c r="G4" s="513"/>
      <c r="H4" s="650" t="str">
        <f ca="1">IF(AND(Q4,X4),HF_FR!E4&amp;", den","")</f>
        <v>Dienstag, den</v>
      </c>
      <c r="I4" s="651">
        <v>46203</v>
      </c>
      <c r="Q4" s="596" t="b">
        <f>IF(OR(ISERROR(I4),ISTEXT(I4)),FALSE,NOT(OR(I4&lt;=0,I4="")))</f>
        <v>1</v>
      </c>
      <c r="X4" s="596" t="b">
        <f ca="1">NOT(ISERROR(HF_FR!E4))</f>
        <v>1</v>
      </c>
    </row>
    <row r="5" spans="1:28" x14ac:dyDescent="0.2">
      <c r="B5" s="514" t="s">
        <v>260</v>
      </c>
      <c r="C5" s="515"/>
      <c r="D5" s="515"/>
      <c r="E5" s="382"/>
      <c r="F5" s="382"/>
      <c r="G5" s="382"/>
      <c r="H5" s="828" t="s">
        <v>201</v>
      </c>
      <c r="I5" s="829"/>
      <c r="Q5" s="596" t="b">
        <f t="array" ref="Q5">IF(ISERROR(H5),FALSE,OR(EXACT(H5,$AB$9:$AB$28)))</f>
        <v>1</v>
      </c>
    </row>
    <row r="6" spans="1:28" ht="13.5" thickBot="1" x14ac:dyDescent="0.25">
      <c r="B6" s="56"/>
      <c r="C6" s="516"/>
      <c r="D6" s="516"/>
      <c r="E6" s="391"/>
      <c r="F6" s="391"/>
      <c r="G6" s="391"/>
      <c r="H6" s="830"/>
      <c r="I6" s="831"/>
    </row>
    <row r="7" spans="1:28" x14ac:dyDescent="0.2">
      <c r="B7" s="50"/>
      <c r="C7" s="50"/>
      <c r="D7" s="50"/>
      <c r="E7" s="50"/>
      <c r="F7" s="50"/>
      <c r="G7" s="50"/>
      <c r="H7" s="517"/>
      <c r="I7" s="518"/>
    </row>
    <row r="8" spans="1:28" ht="13.5" thickBot="1" x14ac:dyDescent="0.25">
      <c r="B8" s="50"/>
      <c r="C8" s="50"/>
      <c r="D8" s="50"/>
      <c r="E8" s="50"/>
      <c r="F8" s="50"/>
      <c r="G8" s="50"/>
      <c r="H8" s="517"/>
      <c r="I8" s="518"/>
    </row>
    <row r="9" spans="1:28" ht="13.5" thickBot="1" x14ac:dyDescent="0.25">
      <c r="A9" s="107" t="s">
        <v>28</v>
      </c>
      <c r="B9" s="568" t="s">
        <v>390</v>
      </c>
      <c r="C9" s="519" t="str">
        <f ca="1">IF(AND(Q4,X4,X9),HF_FR!C9&amp;IF(AND(Y9,Q5),", "&amp;HF_FR!J9,""),"")</f>
        <v>Mittwoch, kein gesetzlicher Feiertag</v>
      </c>
      <c r="D9" s="519"/>
      <c r="E9" s="519"/>
      <c r="F9" s="519"/>
      <c r="G9" s="519"/>
      <c r="H9" s="520"/>
      <c r="I9" s="521">
        <f ca="1">IF(AND(X9,Q$4,Q$5),HF_FR!B9,"")</f>
        <v>46204</v>
      </c>
      <c r="X9" s="596" t="b">
        <f ca="1">NOT(OR(ISERROR(HF_FR!B9),ISERROR(HF_FR!C9)))</f>
        <v>1</v>
      </c>
      <c r="Y9" s="596" t="b">
        <f ca="1">IF(I9="",FALSE,NOT(OR(YEAR(I9)&lt;YEAR(TODAY())-5,YEAR(I9)&gt;YEAR(TODAY())+5)))</f>
        <v>1</v>
      </c>
      <c r="AB9" s="596" t="s">
        <v>288</v>
      </c>
    </row>
    <row r="10" spans="1:28" x14ac:dyDescent="0.2">
      <c r="B10" s="522" t="s">
        <v>486</v>
      </c>
      <c r="C10" s="523" t="str">
        <f ca="1">IF(AND(Q10,X10),IF(I10&lt;&gt;"",HF_FR!C10&amp;IF(AND(Y10,Q5),", "&amp;HF_FR!J10,""),""),"")</f>
        <v/>
      </c>
      <c r="D10" s="523"/>
      <c r="E10" s="523"/>
      <c r="F10" s="523"/>
      <c r="G10" s="523"/>
      <c r="H10" s="524"/>
      <c r="I10" s="661"/>
      <c r="Q10" s="596" t="b">
        <f ca="1">IF(OR(ISERROR(I10),ISTEXT(I10)),FALSE,NOT(OR(I10&lt;0,AND(OR(I10=0,AND(I9&lt;&gt;"",I10&lt;I9)),I10&lt;&gt;""),NOT(AND(X10,X11)))))</f>
        <v>1</v>
      </c>
      <c r="X10" s="596" t="b">
        <f>NOT(ISERROR(HF_FR!C10))</f>
        <v>1</v>
      </c>
      <c r="Y10" s="596" t="b">
        <f ca="1">IF(Q10,IF(I10&lt;&gt;"",NOT(OR(YEAR(I10)&lt;YEAR(TODAY())-5,YEAR(I10)&gt;YEAR(TODAY())+5)),TRUE),TRUE)</f>
        <v>1</v>
      </c>
      <c r="AB10" s="596" t="s">
        <v>289</v>
      </c>
    </row>
    <row r="11" spans="1:28" ht="13.5" thickBot="1" x14ac:dyDescent="0.25">
      <c r="B11" s="525" t="s">
        <v>466</v>
      </c>
      <c r="C11" s="526" t="str">
        <f ca="1">IF(AND(Q4,X4,Q10,X10),IF(I10&lt;&gt;"",HF_FR!C11,""),"")</f>
        <v/>
      </c>
      <c r="D11" s="526"/>
      <c r="E11" s="526"/>
      <c r="F11" s="526"/>
      <c r="G11" s="526"/>
      <c r="H11" s="527"/>
      <c r="I11" s="528"/>
      <c r="X11" s="596" t="b">
        <f ca="1">NOT(ISERROR(HF_FR!C11))</f>
        <v>1</v>
      </c>
      <c r="AB11" s="596" t="s">
        <v>67</v>
      </c>
    </row>
    <row r="12" spans="1:28" ht="13.5" thickBot="1" x14ac:dyDescent="0.25">
      <c r="B12" s="50"/>
      <c r="C12" s="50"/>
      <c r="D12" s="50"/>
      <c r="E12" s="50"/>
      <c r="F12" s="50"/>
      <c r="G12" s="50"/>
      <c r="H12" s="517"/>
      <c r="I12" s="518"/>
      <c r="AB12" s="596" t="s">
        <v>68</v>
      </c>
    </row>
    <row r="13" spans="1:28" ht="13.5" thickBot="1" x14ac:dyDescent="0.25">
      <c r="A13" s="84" t="s">
        <v>29</v>
      </c>
      <c r="B13" s="85" t="s">
        <v>205</v>
      </c>
      <c r="C13" s="85"/>
      <c r="D13" s="85"/>
      <c r="E13" s="85"/>
      <c r="F13" s="85"/>
      <c r="G13" s="85"/>
      <c r="H13" s="529"/>
      <c r="I13" s="530"/>
      <c r="AB13" s="596" t="s">
        <v>201</v>
      </c>
    </row>
    <row r="14" spans="1:28" x14ac:dyDescent="0.2">
      <c r="B14" s="92" t="s">
        <v>206</v>
      </c>
      <c r="C14" s="271"/>
      <c r="D14" s="94" t="s">
        <v>207</v>
      </c>
      <c r="E14" s="94" t="s">
        <v>208</v>
      </c>
      <c r="F14" s="94" t="s">
        <v>209</v>
      </c>
      <c r="G14" s="90" t="s">
        <v>392</v>
      </c>
      <c r="H14" s="816" t="s">
        <v>473</v>
      </c>
      <c r="I14" s="814"/>
      <c r="AB14" s="596" t="s">
        <v>305</v>
      </c>
    </row>
    <row r="15" spans="1:28" x14ac:dyDescent="0.2">
      <c r="B15" s="819"/>
      <c r="C15" s="820"/>
      <c r="D15" s="653"/>
      <c r="E15" s="653"/>
      <c r="F15" s="654"/>
      <c r="G15" s="652"/>
      <c r="H15" s="531" t="str">
        <f ca="1">IF(I15&lt;&gt;"",TEXT(WEEKDAY(I15), "TTTT")&amp;", den","")</f>
        <v/>
      </c>
      <c r="I15" s="532" t="str">
        <f ca="1">IF(AND(X15,Q$4,OR(Q$5,NOT(Z15)),Q15:S15),IF(OR(D15&gt;0,E15&gt;0,F15&gt;0),HF_FR!I15,""),"")</f>
        <v/>
      </c>
      <c r="Q15" s="596" t="b">
        <f ca="1">IF(OR(ISERROR(D15),ISTEXT(D15)),FALSE,NOT(OR(D15&lt;0,D15-INT(D15)&gt;0,NOT($X15))))</f>
        <v>1</v>
      </c>
      <c r="R15" s="596" t="b">
        <f t="shared" ref="R15:R17" ca="1" si="0">IF(OR(ISERROR(E15),ISTEXT(E15)),FALSE,NOT(OR(E15&lt;0,E15-INT(E15)&gt;0,NOT($X15))))</f>
        <v>1</v>
      </c>
      <c r="S15" s="596" t="b">
        <f t="shared" ref="S15:S17" ca="1" si="1">IF(OR(ISERROR(F15),ISTEXT(F15)),FALSE,NOT(OR(F15&lt;0,F15-INT(F15)&gt;0,NOT($X15))))</f>
        <v>1</v>
      </c>
      <c r="X15" s="596" t="b">
        <f ca="1">IF(ISERROR(HF_FR!I15),ERROR.TYPE(HF_FR!I15)&lt;&gt;6,TRUE)</f>
        <v>1</v>
      </c>
      <c r="Y15" s="596" t="b">
        <f ca="1">IF(OR(I15="",NOT(Z15)),TRUE,NOT(OR(YEAR(I15)&lt;YEAR(TODAY())-5,YEAR(I15)&gt;YEAR(TODAY())+5)))</f>
        <v>1</v>
      </c>
      <c r="Z15" s="597" t="b">
        <v>1</v>
      </c>
      <c r="AB15" s="596" t="s">
        <v>63</v>
      </c>
    </row>
    <row r="16" spans="1:28" x14ac:dyDescent="0.2">
      <c r="B16" s="821"/>
      <c r="C16" s="822"/>
      <c r="D16" s="607"/>
      <c r="E16" s="607"/>
      <c r="F16" s="608"/>
      <c r="G16" s="652"/>
      <c r="H16" s="531" t="str">
        <f ca="1">IF(I16&lt;&gt;"",TEXT(WEEKDAY(I16), "TTTT")&amp;", den","")</f>
        <v/>
      </c>
      <c r="I16" s="532" t="str">
        <f ca="1">IF(AND(X16,Q$4,OR(Q$5,NOT(Z16)),Q16:S16),IF(OR(D16&gt;0,E16&gt;0,F16&gt;0),HF_FR!I16,""),"")</f>
        <v/>
      </c>
      <c r="Q16" s="596" t="b">
        <f t="shared" ref="Q16:Q17" ca="1" si="2">IF(OR(ISERROR(D16),ISTEXT(D16)),FALSE,NOT(OR(D16&lt;0,D16-INT(D16)&gt;0,NOT($X16))))</f>
        <v>1</v>
      </c>
      <c r="R16" s="596" t="b">
        <f t="shared" ca="1" si="0"/>
        <v>1</v>
      </c>
      <c r="S16" s="596" t="b">
        <f t="shared" ca="1" si="1"/>
        <v>1</v>
      </c>
      <c r="X16" s="596" t="b">
        <f ca="1">IF(ISERROR(HF_FR!I16),ERROR.TYPE(HF_FR!I16)&lt;&gt;6,TRUE)</f>
        <v>1</v>
      </c>
      <c r="Y16" s="596" t="b">
        <f t="shared" ref="Y16:Y17" ca="1" si="3">IF(OR(I16="",NOT(Z16)),TRUE,NOT(OR(YEAR(I16)&lt;YEAR(TODAY())-5,YEAR(I16)&gt;YEAR(TODAY())+5)))</f>
        <v>1</v>
      </c>
      <c r="Z16" s="597" t="b">
        <v>1</v>
      </c>
      <c r="AB16" s="596" t="s">
        <v>64</v>
      </c>
    </row>
    <row r="17" spans="2:28" x14ac:dyDescent="0.2">
      <c r="B17" s="823"/>
      <c r="C17" s="824"/>
      <c r="D17" s="609"/>
      <c r="E17" s="609"/>
      <c r="F17" s="610"/>
      <c r="G17" s="652"/>
      <c r="H17" s="531" t="str">
        <f ca="1">IF(I17&lt;&gt;"",TEXT(WEEKDAY(I17), "TTTT")&amp;", den","")</f>
        <v/>
      </c>
      <c r="I17" s="532" t="str">
        <f ca="1">IF(AND(X17,Q$4,OR(Q$5,NOT(Z17)),Q17:S17),IF(OR(D17&gt;0,E17&gt;0,F17&gt;0),HF_FR!I17,""),"")</f>
        <v/>
      </c>
      <c r="Q17" s="596" t="b">
        <f t="shared" ca="1" si="2"/>
        <v>1</v>
      </c>
      <c r="R17" s="596" t="b">
        <f t="shared" ca="1" si="0"/>
        <v>1</v>
      </c>
      <c r="S17" s="596" t="b">
        <f t="shared" ca="1" si="1"/>
        <v>1</v>
      </c>
      <c r="X17" s="596" t="b">
        <f ca="1">IF(ISERROR(HF_FR!I17),ERROR.TYPE(HF_FR!I17)&lt;&gt;6,TRUE)</f>
        <v>1</v>
      </c>
      <c r="Y17" s="596" t="b">
        <f t="shared" ca="1" si="3"/>
        <v>1</v>
      </c>
      <c r="Z17" s="597" t="b">
        <v>1</v>
      </c>
      <c r="AB17" s="596" t="s">
        <v>297</v>
      </c>
    </row>
    <row r="18" spans="2:28" x14ac:dyDescent="0.2">
      <c r="B18" s="92" t="s">
        <v>210</v>
      </c>
      <c r="C18" s="271"/>
      <c r="D18" s="94" t="s">
        <v>207</v>
      </c>
      <c r="E18" s="94" t="s">
        <v>208</v>
      </c>
      <c r="F18" s="94" t="s">
        <v>209</v>
      </c>
      <c r="G18" s="90" t="s">
        <v>392</v>
      </c>
      <c r="H18" s="816" t="s">
        <v>473</v>
      </c>
      <c r="I18" s="817"/>
      <c r="AB18" s="596" t="s">
        <v>306</v>
      </c>
    </row>
    <row r="19" spans="2:28" x14ac:dyDescent="0.2">
      <c r="B19" s="100" t="s">
        <v>211</v>
      </c>
      <c r="C19" s="90"/>
      <c r="D19" s="533"/>
      <c r="E19" s="533">
        <v>2</v>
      </c>
      <c r="F19" s="533"/>
      <c r="G19" s="90" t="s">
        <v>580</v>
      </c>
      <c r="H19" s="534" t="str">
        <f ca="1">IF(I19&lt;&gt;"",TEXT(WEEKDAY(I19), "TTTT")&amp;", den","")</f>
        <v>Dienstag, den</v>
      </c>
      <c r="I19" s="532">
        <f ca="1">IF(AND(X19,Q$4,OR(Q$5,NOT(Z19))),HF_FR!I19,"")</f>
        <v>46217</v>
      </c>
      <c r="X19" s="596" t="b">
        <f ca="1">IF(ISERROR(HF_FR!I19),ERROR.TYPE(HF_FR!I19)&lt;&gt;6,TRUE)</f>
        <v>1</v>
      </c>
      <c r="Y19" s="596" t="b">
        <f t="shared" ref="Y19:Y34" ca="1" si="4">IF(OR(I19="",NOT(Z19)),TRUE,NOT(OR(YEAR(I19)&lt;YEAR(TODAY())-5,YEAR(I19)&gt;YEAR(TODAY())+5)))</f>
        <v>1</v>
      </c>
      <c r="Z19" s="596" t="b">
        <f t="shared" ref="Z19:Z34" si="5">G19="ja"</f>
        <v>1</v>
      </c>
      <c r="AB19" s="596" t="s">
        <v>65</v>
      </c>
    </row>
    <row r="20" spans="2:28" x14ac:dyDescent="0.2">
      <c r="B20" s="100" t="s">
        <v>212</v>
      </c>
      <c r="C20" s="90"/>
      <c r="D20" s="533"/>
      <c r="E20" s="533">
        <v>2</v>
      </c>
      <c r="F20" s="533"/>
      <c r="G20" s="90" t="s">
        <v>580</v>
      </c>
      <c r="H20" s="534" t="str">
        <f t="shared" ref="H20:H49" ca="1" si="6">IF(I20&lt;&gt;"",TEXT(WEEKDAY(I20), "TTTT")&amp;", den","")</f>
        <v>Dienstag, den</v>
      </c>
      <c r="I20" s="532">
        <f ca="1">IF(AND(X20,Q$4,OR(Q$5,NOT(Z20))),HF_FR!I20,"")</f>
        <v>46217</v>
      </c>
      <c r="X20" s="596" t="b">
        <f ca="1">IF(ISERROR(HF_FR!I20),ERROR.TYPE(HF_FR!I20)&lt;&gt;6,TRUE)</f>
        <v>1</v>
      </c>
      <c r="Y20" s="596" t="b">
        <f t="shared" ca="1" si="4"/>
        <v>1</v>
      </c>
      <c r="Z20" s="596" t="b">
        <f t="shared" si="5"/>
        <v>1</v>
      </c>
      <c r="AB20" s="596" t="s">
        <v>298</v>
      </c>
    </row>
    <row r="21" spans="2:28" x14ac:dyDescent="0.2">
      <c r="B21" s="100" t="s">
        <v>213</v>
      </c>
      <c r="C21" s="90"/>
      <c r="D21" s="533">
        <v>1</v>
      </c>
      <c r="E21" s="533"/>
      <c r="F21" s="533"/>
      <c r="G21" s="90" t="s">
        <v>580</v>
      </c>
      <c r="H21" s="534" t="str">
        <f t="shared" ca="1" si="6"/>
        <v>Donnerstag, den</v>
      </c>
      <c r="I21" s="532">
        <f ca="1">IF(AND(X21,Q$4,OR(Q$5,NOT(Z21))),HF_FR!I21,"")</f>
        <v>46233</v>
      </c>
      <c r="X21" s="596" t="b">
        <f ca="1">IF(ISERROR(HF_FR!I21),ERROR.TYPE(HF_FR!I21)&lt;&gt;6,TRUE)</f>
        <v>1</v>
      </c>
      <c r="Y21" s="596" t="b">
        <f t="shared" ca="1" si="4"/>
        <v>1</v>
      </c>
      <c r="Z21" s="596" t="b">
        <f t="shared" si="5"/>
        <v>1</v>
      </c>
      <c r="AB21" s="596" t="s">
        <v>299</v>
      </c>
    </row>
    <row r="22" spans="2:28" x14ac:dyDescent="0.2">
      <c r="B22" s="100" t="s">
        <v>214</v>
      </c>
      <c r="C22" s="90"/>
      <c r="D22" s="533">
        <v>2</v>
      </c>
      <c r="E22" s="533"/>
      <c r="F22" s="533"/>
      <c r="G22" s="90" t="s">
        <v>580</v>
      </c>
      <c r="H22" s="534" t="str">
        <f t="shared" ca="1" si="6"/>
        <v>Montag, den</v>
      </c>
      <c r="I22" s="532">
        <f ca="1">IF(AND(X22,Q$4,OR(Q$5,NOT(Z22))),HF_FR!I22,"")</f>
        <v>46265</v>
      </c>
      <c r="X22" s="596" t="b">
        <f ca="1">IF(ISERROR(HF_FR!I22),ERROR.TYPE(HF_FR!I22)&lt;&gt;6,TRUE)</f>
        <v>1</v>
      </c>
      <c r="Y22" s="596" t="b">
        <f t="shared" ca="1" si="4"/>
        <v>1</v>
      </c>
      <c r="Z22" s="596" t="b">
        <f t="shared" si="5"/>
        <v>1</v>
      </c>
      <c r="AB22" s="596" t="s">
        <v>300</v>
      </c>
    </row>
    <row r="23" spans="2:28" x14ac:dyDescent="0.2">
      <c r="B23" s="100" t="s">
        <v>215</v>
      </c>
      <c r="C23" s="90"/>
      <c r="D23" s="533">
        <v>1</v>
      </c>
      <c r="E23" s="533"/>
      <c r="F23" s="533"/>
      <c r="G23" s="90" t="s">
        <v>580</v>
      </c>
      <c r="H23" s="534" t="str">
        <f t="shared" ca="1" si="6"/>
        <v>Donnerstag, den</v>
      </c>
      <c r="I23" s="532">
        <f ca="1">IF(AND(X23,Q$4,OR(Q$5,NOT(Z23))),HF_FR!I23,"")</f>
        <v>46233</v>
      </c>
      <c r="X23" s="596" t="b">
        <f ca="1">IF(ISERROR(HF_FR!I23),ERROR.TYPE(HF_FR!I23)&lt;&gt;6,TRUE)</f>
        <v>1</v>
      </c>
      <c r="Y23" s="596" t="b">
        <f t="shared" ca="1" si="4"/>
        <v>1</v>
      </c>
      <c r="Z23" s="596" t="b">
        <f t="shared" si="5"/>
        <v>1</v>
      </c>
      <c r="AB23" s="596" t="s">
        <v>307</v>
      </c>
    </row>
    <row r="24" spans="2:28" x14ac:dyDescent="0.2">
      <c r="B24" s="100" t="s">
        <v>216</v>
      </c>
      <c r="C24" s="90"/>
      <c r="D24" s="533">
        <v>2</v>
      </c>
      <c r="E24" s="533"/>
      <c r="F24" s="533"/>
      <c r="G24" s="90" t="s">
        <v>580</v>
      </c>
      <c r="H24" s="534" t="str">
        <f t="shared" ca="1" si="6"/>
        <v>Montag, den</v>
      </c>
      <c r="I24" s="532">
        <f ca="1">IF(AND(X24,Q$4,OR(Q$5,NOT(Z24))),HF_FR!I24,"")</f>
        <v>46265</v>
      </c>
      <c r="X24" s="596" t="b">
        <f ca="1">IF(ISERROR(HF_FR!I24),ERROR.TYPE(HF_FR!I24)&lt;&gt;6,TRUE)</f>
        <v>1</v>
      </c>
      <c r="Y24" s="596" t="b">
        <f t="shared" ca="1" si="4"/>
        <v>1</v>
      </c>
      <c r="Z24" s="596" t="b">
        <f t="shared" si="5"/>
        <v>1</v>
      </c>
      <c r="AB24" s="596" t="s">
        <v>62</v>
      </c>
    </row>
    <row r="25" spans="2:28" x14ac:dyDescent="0.2">
      <c r="B25" s="100" t="s">
        <v>217</v>
      </c>
      <c r="C25" s="90"/>
      <c r="D25" s="533"/>
      <c r="E25" s="533">
        <v>2</v>
      </c>
      <c r="F25" s="533"/>
      <c r="G25" s="90" t="s">
        <v>580</v>
      </c>
      <c r="H25" s="534" t="str">
        <f t="shared" ca="1" si="6"/>
        <v>Dienstag, den</v>
      </c>
      <c r="I25" s="532">
        <f ca="1">IF(AND(X25,Q$4,OR(Q$5,NOT(Z25))),HF_FR!I25,"")</f>
        <v>46217</v>
      </c>
      <c r="X25" s="596" t="b">
        <f ca="1">IF(ISERROR(HF_FR!I25),ERROR.TYPE(HF_FR!I25)&lt;&gt;6,TRUE)</f>
        <v>1</v>
      </c>
      <c r="Y25" s="596" t="b">
        <f t="shared" ca="1" si="4"/>
        <v>1</v>
      </c>
      <c r="Z25" s="596" t="b">
        <f t="shared" si="5"/>
        <v>1</v>
      </c>
      <c r="AB25" s="596" t="s">
        <v>290</v>
      </c>
    </row>
    <row r="26" spans="2:28" x14ac:dyDescent="0.2">
      <c r="B26" s="100" t="s">
        <v>218</v>
      </c>
      <c r="C26" s="90"/>
      <c r="D26" s="533">
        <v>1</v>
      </c>
      <c r="E26" s="533"/>
      <c r="F26" s="533"/>
      <c r="G26" s="90" t="s">
        <v>580</v>
      </c>
      <c r="H26" s="534" t="str">
        <f t="shared" ca="1" si="6"/>
        <v>Donnerstag, den</v>
      </c>
      <c r="I26" s="532">
        <f ca="1">IF(AND(X26,Q$4,OR(Q$5,NOT(Z26))),HF_FR!I26,"")</f>
        <v>46233</v>
      </c>
      <c r="X26" s="596" t="b">
        <f ca="1">IF(ISERROR(HF_FR!I26),ERROR.TYPE(HF_FR!I26)&lt;&gt;6,TRUE)</f>
        <v>1</v>
      </c>
      <c r="Y26" s="596" t="b">
        <f t="shared" ca="1" si="4"/>
        <v>1</v>
      </c>
      <c r="Z26" s="596" t="b">
        <f t="shared" si="5"/>
        <v>1</v>
      </c>
      <c r="AB26" s="596" t="s">
        <v>66</v>
      </c>
    </row>
    <row r="27" spans="2:28" x14ac:dyDescent="0.2">
      <c r="B27" s="100" t="s">
        <v>219</v>
      </c>
      <c r="C27" s="90"/>
      <c r="D27" s="533"/>
      <c r="E27" s="533">
        <v>2</v>
      </c>
      <c r="F27" s="533"/>
      <c r="G27" s="90" t="s">
        <v>580</v>
      </c>
      <c r="H27" s="534" t="str">
        <f t="shared" ca="1" si="6"/>
        <v>Dienstag, den</v>
      </c>
      <c r="I27" s="532">
        <f ca="1">IF(AND(X27,Q$4,OR(Q$5,NOT(Z27))),HF_FR!I27,"")</f>
        <v>46217</v>
      </c>
      <c r="X27" s="596" t="b">
        <f ca="1">IF(ISERROR(HF_FR!I27),ERROR.TYPE(HF_FR!I27)&lt;&gt;6,TRUE)</f>
        <v>1</v>
      </c>
      <c r="Y27" s="596" t="b">
        <f t="shared" ca="1" si="4"/>
        <v>1</v>
      </c>
      <c r="Z27" s="596" t="b">
        <f t="shared" si="5"/>
        <v>1</v>
      </c>
      <c r="AB27" s="596" t="s">
        <v>308</v>
      </c>
    </row>
    <row r="28" spans="2:28" x14ac:dyDescent="0.2">
      <c r="B28" s="100" t="s">
        <v>220</v>
      </c>
      <c r="C28" s="90"/>
      <c r="D28" s="533"/>
      <c r="E28" s="533">
        <v>2</v>
      </c>
      <c r="F28" s="533"/>
      <c r="G28" s="90" t="s">
        <v>580</v>
      </c>
      <c r="H28" s="534" t="str">
        <f t="shared" ca="1" si="6"/>
        <v>Dienstag, den</v>
      </c>
      <c r="I28" s="532">
        <f ca="1">IF(AND(X28,Q$4,OR(Q$5,NOT(Z28))),HF_FR!I28,"")</f>
        <v>46217</v>
      </c>
      <c r="X28" s="596" t="b">
        <f ca="1">IF(ISERROR(HF_FR!I28),ERROR.TYPE(HF_FR!I28)&lt;&gt;6,TRUE)</f>
        <v>1</v>
      </c>
      <c r="Y28" s="596" t="b">
        <f t="shared" ca="1" si="4"/>
        <v>1</v>
      </c>
      <c r="Z28" s="596" t="b">
        <f t="shared" si="5"/>
        <v>1</v>
      </c>
      <c r="AB28" s="596" t="s">
        <v>61</v>
      </c>
    </row>
    <row r="29" spans="2:28" x14ac:dyDescent="0.2">
      <c r="B29" s="100" t="s">
        <v>221</v>
      </c>
      <c r="C29" s="90"/>
      <c r="D29" s="533">
        <v>3</v>
      </c>
      <c r="E29" s="533"/>
      <c r="F29" s="533"/>
      <c r="G29" s="90" t="s">
        <v>580</v>
      </c>
      <c r="H29" s="534" t="str">
        <f t="shared" ca="1" si="6"/>
        <v>Mittwoch, den</v>
      </c>
      <c r="I29" s="532">
        <f ca="1">IF(AND(X29,Q$4,OR(Q$5,NOT(Z29))),HF_FR!I29,"")</f>
        <v>46295</v>
      </c>
      <c r="X29" s="596" t="b">
        <f ca="1">IF(ISERROR(HF_FR!I29),ERROR.TYPE(HF_FR!I29)&lt;&gt;6,TRUE)</f>
        <v>1</v>
      </c>
      <c r="Y29" s="596" t="b">
        <f t="shared" ca="1" si="4"/>
        <v>1</v>
      </c>
      <c r="Z29" s="596" t="b">
        <f t="shared" si="5"/>
        <v>1</v>
      </c>
    </row>
    <row r="30" spans="2:28" x14ac:dyDescent="0.2">
      <c r="B30" s="100" t="s">
        <v>222</v>
      </c>
      <c r="C30" s="90"/>
      <c r="D30" s="533"/>
      <c r="E30" s="533">
        <v>2</v>
      </c>
      <c r="F30" s="533"/>
      <c r="G30" s="90" t="s">
        <v>580</v>
      </c>
      <c r="H30" s="534" t="str">
        <f t="shared" ca="1" si="6"/>
        <v>Dienstag, den</v>
      </c>
      <c r="I30" s="532">
        <f ca="1">IF(AND(X30,Q$4,OR(Q$5,NOT(Z30))),HF_FR!I30,"")</f>
        <v>46217</v>
      </c>
      <c r="X30" s="596" t="b">
        <f ca="1">IF(ISERROR(HF_FR!I30),ERROR.TYPE(HF_FR!I30)&lt;&gt;6,TRUE)</f>
        <v>1</v>
      </c>
      <c r="Y30" s="596" t="b">
        <f t="shared" ca="1" si="4"/>
        <v>1</v>
      </c>
      <c r="Z30" s="596" t="b">
        <f t="shared" si="5"/>
        <v>1</v>
      </c>
      <c r="AB30" s="596" t="s">
        <v>240</v>
      </c>
    </row>
    <row r="31" spans="2:28" x14ac:dyDescent="0.2">
      <c r="B31" s="100" t="s">
        <v>223</v>
      </c>
      <c r="C31" s="90"/>
      <c r="D31" s="533"/>
      <c r="E31" s="533">
        <v>2</v>
      </c>
      <c r="F31" s="533"/>
      <c r="G31" s="90" t="s">
        <v>580</v>
      </c>
      <c r="H31" s="534" t="str">
        <f t="shared" ca="1" si="6"/>
        <v>Dienstag, den</v>
      </c>
      <c r="I31" s="532">
        <f ca="1">IF(AND(X31,Q$4,OR(Q$5,NOT(Z31))),HF_FR!I31,"")</f>
        <v>46217</v>
      </c>
      <c r="X31" s="596" t="b">
        <f ca="1">IF(ISERROR(HF_FR!I31),ERROR.TYPE(HF_FR!I31)&lt;&gt;6,TRUE)</f>
        <v>1</v>
      </c>
      <c r="Y31" s="596" t="b">
        <f t="shared" ca="1" si="4"/>
        <v>1</v>
      </c>
      <c r="Z31" s="596" t="b">
        <f t="shared" si="5"/>
        <v>1</v>
      </c>
      <c r="AB31" s="596" t="s">
        <v>242</v>
      </c>
    </row>
    <row r="32" spans="2:28" x14ac:dyDescent="0.2">
      <c r="B32" s="100" t="s">
        <v>224</v>
      </c>
      <c r="C32" s="90"/>
      <c r="D32" s="533">
        <v>1</v>
      </c>
      <c r="E32" s="533"/>
      <c r="F32" s="533"/>
      <c r="G32" s="90" t="s">
        <v>580</v>
      </c>
      <c r="H32" s="534" t="str">
        <f t="shared" ca="1" si="6"/>
        <v>Donnerstag, den</v>
      </c>
      <c r="I32" s="532">
        <f ca="1">IF(AND(X32,Q$4,OR(Q$5,NOT(Z32))),HF_FR!I32,"")</f>
        <v>46233</v>
      </c>
      <c r="X32" s="596" t="b">
        <f ca="1">IF(ISERROR(HF_FR!I32),ERROR.TYPE(HF_FR!I32)&lt;&gt;6,TRUE)</f>
        <v>1</v>
      </c>
      <c r="Y32" s="596" t="b">
        <f t="shared" ca="1" si="4"/>
        <v>1</v>
      </c>
      <c r="Z32" s="596" t="b">
        <f t="shared" si="5"/>
        <v>1</v>
      </c>
    </row>
    <row r="33" spans="2:26" x14ac:dyDescent="0.2">
      <c r="B33" s="100" t="s">
        <v>225</v>
      </c>
      <c r="C33" s="90"/>
      <c r="D33" s="533"/>
      <c r="E33" s="533">
        <v>2</v>
      </c>
      <c r="F33" s="533"/>
      <c r="G33" s="90" t="s">
        <v>580</v>
      </c>
      <c r="H33" s="534" t="str">
        <f t="shared" ca="1" si="6"/>
        <v>Dienstag, den</v>
      </c>
      <c r="I33" s="532">
        <f ca="1">IF(AND(X33,Q$4,OR(Q$5,NOT(Z33))),HF_FR!I33,"")</f>
        <v>46217</v>
      </c>
      <c r="X33" s="596" t="b">
        <f ca="1">IF(ISERROR(HF_FR!I33),ERROR.TYPE(HF_FR!I33)&lt;&gt;6,TRUE)</f>
        <v>1</v>
      </c>
      <c r="Y33" s="596" t="b">
        <f t="shared" ca="1" si="4"/>
        <v>1</v>
      </c>
      <c r="Z33" s="596" t="b">
        <f t="shared" si="5"/>
        <v>1</v>
      </c>
    </row>
    <row r="34" spans="2:26" x14ac:dyDescent="0.2">
      <c r="B34" s="100" t="s">
        <v>226</v>
      </c>
      <c r="C34" s="90"/>
      <c r="D34" s="533"/>
      <c r="E34" s="533">
        <v>2</v>
      </c>
      <c r="F34" s="533"/>
      <c r="G34" s="90" t="s">
        <v>580</v>
      </c>
      <c r="H34" s="534" t="str">
        <f t="shared" ca="1" si="6"/>
        <v>Dienstag, den</v>
      </c>
      <c r="I34" s="532">
        <f ca="1">IF(AND(X34,Q$4,OR(Q$5,NOT(Z34))),HF_FR!I34,"")</f>
        <v>46217</v>
      </c>
      <c r="X34" s="596" t="b">
        <f ca="1">IF(ISERROR(HF_FR!I34),ERROR.TYPE(HF_FR!I34)&lt;&gt;6,TRUE)</f>
        <v>1</v>
      </c>
      <c r="Y34" s="596" t="b">
        <f t="shared" ca="1" si="4"/>
        <v>1</v>
      </c>
      <c r="Z34" s="596" t="b">
        <f t="shared" si="5"/>
        <v>1</v>
      </c>
    </row>
    <row r="35" spans="2:26" x14ac:dyDescent="0.2">
      <c r="B35" s="92" t="s">
        <v>227</v>
      </c>
      <c r="C35" s="271"/>
      <c r="D35" s="94" t="s">
        <v>207</v>
      </c>
      <c r="E35" s="94" t="s">
        <v>208</v>
      </c>
      <c r="F35" s="94" t="s">
        <v>209</v>
      </c>
      <c r="G35" s="90" t="s">
        <v>392</v>
      </c>
      <c r="H35" s="816" t="s">
        <v>473</v>
      </c>
      <c r="I35" s="817"/>
    </row>
    <row r="36" spans="2:26" x14ac:dyDescent="0.2">
      <c r="B36" s="100" t="s">
        <v>228</v>
      </c>
      <c r="C36" s="90"/>
      <c r="D36" s="533"/>
      <c r="E36" s="533">
        <v>3</v>
      </c>
      <c r="F36" s="533"/>
      <c r="G36" s="90" t="s">
        <v>580</v>
      </c>
      <c r="H36" s="534" t="str">
        <f t="shared" ca="1" si="6"/>
        <v>Dienstag, den</v>
      </c>
      <c r="I36" s="532">
        <f ca="1">IF(AND(X36,Q$4,OR(Q$5,NOT(Z36))),HF_FR!I36,"")</f>
        <v>46224</v>
      </c>
      <c r="X36" s="596" t="b">
        <f ca="1">IF(ISERROR(HF_FR!I36),ERROR.TYPE(HF_FR!I36)&lt;&gt;6,TRUE)</f>
        <v>1</v>
      </c>
      <c r="Y36" s="596" t="b">
        <f t="shared" ref="Y36:Y38" ca="1" si="7">IF(OR(I36="",NOT(Z36)),TRUE,NOT(OR(YEAR(I36)&lt;YEAR(TODAY())-5,YEAR(I36)&gt;YEAR(TODAY())+5)))</f>
        <v>1</v>
      </c>
      <c r="Z36" s="596" t="b">
        <f>G36="ja"</f>
        <v>1</v>
      </c>
    </row>
    <row r="37" spans="2:26" x14ac:dyDescent="0.2">
      <c r="B37" s="100" t="s">
        <v>229</v>
      </c>
      <c r="C37" s="90"/>
      <c r="D37" s="533"/>
      <c r="E37" s="533">
        <v>3</v>
      </c>
      <c r="F37" s="533"/>
      <c r="G37" s="90" t="s">
        <v>580</v>
      </c>
      <c r="H37" s="534" t="str">
        <f t="shared" ca="1" si="6"/>
        <v>Dienstag, den</v>
      </c>
      <c r="I37" s="532">
        <f ca="1">IF(AND(X37,Q$4,OR(Q$5,NOT(Z37))),HF_FR!I37,"")</f>
        <v>46224</v>
      </c>
      <c r="X37" s="596" t="b">
        <f ca="1">IF(ISERROR(HF_FR!I37),ERROR.TYPE(HF_FR!I37)&lt;&gt;6,TRUE)</f>
        <v>1</v>
      </c>
      <c r="Y37" s="596" t="b">
        <f t="shared" ca="1" si="7"/>
        <v>1</v>
      </c>
      <c r="Z37" s="596" t="b">
        <f>G37="ja"</f>
        <v>1</v>
      </c>
    </row>
    <row r="38" spans="2:26" x14ac:dyDescent="0.2">
      <c r="B38" s="100" t="s">
        <v>230</v>
      </c>
      <c r="C38" s="90"/>
      <c r="D38" s="533">
        <v>3</v>
      </c>
      <c r="E38" s="533"/>
      <c r="F38" s="533"/>
      <c r="G38" s="90" t="s">
        <v>580</v>
      </c>
      <c r="H38" s="534" t="str">
        <f t="shared" ca="1" si="6"/>
        <v>Mittwoch, den</v>
      </c>
      <c r="I38" s="532">
        <f ca="1">IF(AND(X38,Q$4,OR(Q$5,NOT(Z38))),HF_FR!I38,"")</f>
        <v>46295</v>
      </c>
      <c r="X38" s="596" t="b">
        <f ca="1">IF(ISERROR(HF_FR!I38),ERROR.TYPE(HF_FR!I38)&lt;&gt;6,TRUE)</f>
        <v>1</v>
      </c>
      <c r="Y38" s="596" t="b">
        <f t="shared" ca="1" si="7"/>
        <v>1</v>
      </c>
      <c r="Z38" s="596" t="b">
        <f>G38="ja"</f>
        <v>1</v>
      </c>
    </row>
    <row r="39" spans="2:26" x14ac:dyDescent="0.2">
      <c r="B39" s="92" t="s">
        <v>231</v>
      </c>
      <c r="C39" s="271"/>
      <c r="D39" s="94" t="s">
        <v>207</v>
      </c>
      <c r="E39" s="94" t="s">
        <v>208</v>
      </c>
      <c r="F39" s="94" t="s">
        <v>209</v>
      </c>
      <c r="G39" s="90" t="s">
        <v>392</v>
      </c>
      <c r="H39" s="816" t="s">
        <v>473</v>
      </c>
      <c r="I39" s="817"/>
    </row>
    <row r="40" spans="2:26" x14ac:dyDescent="0.2">
      <c r="B40" s="100" t="s">
        <v>232</v>
      </c>
      <c r="C40" s="90"/>
      <c r="D40" s="535"/>
      <c r="E40" s="535">
        <v>2</v>
      </c>
      <c r="F40" s="535"/>
      <c r="G40" s="90" t="s">
        <v>580</v>
      </c>
      <c r="H40" s="534" t="str">
        <f t="shared" ca="1" si="6"/>
        <v>Dienstag, den</v>
      </c>
      <c r="I40" s="532">
        <f ca="1">IF(AND(X40,Q$4,OR(Q$5,NOT(Z40))),HF_FR!I40,"")</f>
        <v>46217</v>
      </c>
      <c r="X40" s="596" t="b">
        <f ca="1">IF(ISERROR(HF_FR!I40),ERROR.TYPE(HF_FR!I40)&lt;&gt;6,TRUE)</f>
        <v>1</v>
      </c>
      <c r="Y40" s="596" t="b">
        <f t="shared" ref="Y40:Y41" ca="1" si="8">IF(OR(I40="",NOT(Z40)),TRUE,NOT(OR(YEAR(I40)&lt;YEAR(TODAY())-5,YEAR(I40)&gt;YEAR(TODAY())+5)))</f>
        <v>1</v>
      </c>
      <c r="Z40" s="596" t="b">
        <f>G40="ja"</f>
        <v>1</v>
      </c>
    </row>
    <row r="41" spans="2:26" x14ac:dyDescent="0.2">
      <c r="B41" s="100" t="s">
        <v>233</v>
      </c>
      <c r="C41" s="90"/>
      <c r="D41" s="536">
        <v>1</v>
      </c>
      <c r="E41" s="536"/>
      <c r="F41" s="536"/>
      <c r="G41" s="90" t="s">
        <v>129</v>
      </c>
      <c r="H41" s="534" t="str">
        <f t="shared" ca="1" si="6"/>
        <v>Donnerstag, den</v>
      </c>
      <c r="I41" s="532">
        <f ca="1">IF(AND(X41,Q$4,OR(Q$5,NOT(Z41))),HF_FR!I41,"")</f>
        <v>46233</v>
      </c>
      <c r="X41" s="596" t="b">
        <f ca="1">IF(ISERROR(HF_FR!I41),ERROR.TYPE(HF_FR!I41)&lt;&gt;6,TRUE)</f>
        <v>1</v>
      </c>
      <c r="Y41" s="596" t="b">
        <f t="shared" ca="1" si="8"/>
        <v>1</v>
      </c>
      <c r="Z41" s="596" t="b">
        <f>G41="ja"</f>
        <v>0</v>
      </c>
    </row>
    <row r="42" spans="2:26" x14ac:dyDescent="0.2">
      <c r="B42" s="92" t="s">
        <v>261</v>
      </c>
      <c r="C42" s="271"/>
      <c r="D42" s="94" t="s">
        <v>207</v>
      </c>
      <c r="E42" s="94" t="s">
        <v>208</v>
      </c>
      <c r="F42" s="94" t="s">
        <v>209</v>
      </c>
      <c r="G42" s="90"/>
      <c r="H42" s="816" t="s">
        <v>582</v>
      </c>
      <c r="I42" s="817"/>
    </row>
    <row r="43" spans="2:26" x14ac:dyDescent="0.2">
      <c r="B43" s="819"/>
      <c r="C43" s="820"/>
      <c r="D43" s="653"/>
      <c r="E43" s="653"/>
      <c r="F43" s="654"/>
      <c r="G43" s="90"/>
      <c r="H43" s="534" t="str">
        <f t="shared" ca="1" si="6"/>
        <v/>
      </c>
      <c r="I43" s="532" t="str">
        <f ca="1">IF(AND(X43,Q$4,Q$5,Q43:S43),IF(OR(D43&gt;0,E43&gt;0,F43&gt;0),HF_FR!H43,""),"")</f>
        <v/>
      </c>
      <c r="Q43" s="596" t="b">
        <f t="shared" ref="Q43:Q45" ca="1" si="9">IF(OR(ISERROR(D43),ISTEXT(D43)),FALSE,NOT(OR(D43&lt;0,D43-INT(D43)&gt;0,NOT($X43))))</f>
        <v>1</v>
      </c>
      <c r="R43" s="596" t="b">
        <f t="shared" ref="R43:R45" ca="1" si="10">IF(OR(ISERROR(E43),ISTEXT(E43)),FALSE,NOT(OR(E43&lt;0,E43-INT(E43)&gt;0,NOT($X43))))</f>
        <v>1</v>
      </c>
      <c r="S43" s="596" t="b">
        <f t="shared" ref="S43:S45" ca="1" si="11">IF(OR(ISERROR(F43),ISTEXT(F43)),FALSE,NOT(OR(F43&lt;0,F43-INT(F43)&gt;0,NOT($X43))))</f>
        <v>1</v>
      </c>
      <c r="X43" s="596" t="b">
        <f ca="1">IF(ISERROR(HF_FR!H43),ERROR.TYPE(HF_FR!H43)&lt;&gt;6,TRUE)</f>
        <v>1</v>
      </c>
      <c r="Y43" s="596" t="b">
        <f t="shared" ref="Y43:Y51" ca="1" si="12">IF(I43="",TRUE,NOT(OR(YEAR(I43)&lt;YEAR(TODAY())-5,YEAR(I43)&gt;YEAR(TODAY())+5)))</f>
        <v>1</v>
      </c>
    </row>
    <row r="44" spans="2:26" x14ac:dyDescent="0.2">
      <c r="B44" s="821"/>
      <c r="C44" s="822"/>
      <c r="D44" s="607"/>
      <c r="E44" s="607"/>
      <c r="F44" s="608"/>
      <c r="G44" s="90"/>
      <c r="H44" s="534" t="str">
        <f t="shared" ca="1" si="6"/>
        <v/>
      </c>
      <c r="I44" s="532" t="str">
        <f ca="1">IF(AND(X44,Q$4,Q$5,Q44:S44),IF(OR(D44&gt;0,E44&gt;0,F44&gt;0),HF_FR!H44,""),"")</f>
        <v/>
      </c>
      <c r="Q44" s="596" t="b">
        <f t="shared" ca="1" si="9"/>
        <v>1</v>
      </c>
      <c r="R44" s="596" t="b">
        <f t="shared" ca="1" si="10"/>
        <v>1</v>
      </c>
      <c r="S44" s="596" t="b">
        <f t="shared" ca="1" si="11"/>
        <v>1</v>
      </c>
      <c r="X44" s="596" t="b">
        <f ca="1">IF(ISERROR(HF_FR!H44),ERROR.TYPE(HF_FR!H44)&lt;&gt;6,TRUE)</f>
        <v>1</v>
      </c>
      <c r="Y44" s="596" t="b">
        <f t="shared" ca="1" si="12"/>
        <v>1</v>
      </c>
    </row>
    <row r="45" spans="2:26" x14ac:dyDescent="0.2">
      <c r="B45" s="823"/>
      <c r="C45" s="824"/>
      <c r="D45" s="609"/>
      <c r="E45" s="609"/>
      <c r="F45" s="610"/>
      <c r="G45" s="90"/>
      <c r="H45" s="534" t="str">
        <f t="shared" ca="1" si="6"/>
        <v/>
      </c>
      <c r="I45" s="532" t="str">
        <f ca="1">IF(AND(X45,Q$4,Q$5,Q45:S45),IF(OR(D45&gt;0,E45&gt;0,F45&gt;0),HF_FR!H45,""),"")</f>
        <v/>
      </c>
      <c r="Q45" s="596" t="b">
        <f t="shared" ca="1" si="9"/>
        <v>1</v>
      </c>
      <c r="R45" s="596" t="b">
        <f t="shared" ca="1" si="10"/>
        <v>1</v>
      </c>
      <c r="S45" s="596" t="b">
        <f t="shared" ca="1" si="11"/>
        <v>1</v>
      </c>
      <c r="X45" s="596" t="b">
        <f ca="1">IF(ISERROR(HF_FR!H45),ERROR.TYPE(HF_FR!H45)&lt;&gt;6,TRUE)</f>
        <v>1</v>
      </c>
      <c r="Y45" s="596" t="b">
        <f t="shared" ca="1" si="12"/>
        <v>1</v>
      </c>
    </row>
    <row r="46" spans="2:26" x14ac:dyDescent="0.2">
      <c r="B46" s="92" t="s">
        <v>262</v>
      </c>
      <c r="C46" s="271"/>
      <c r="D46" s="94" t="s">
        <v>207</v>
      </c>
      <c r="E46" s="94" t="s">
        <v>208</v>
      </c>
      <c r="F46" s="94" t="s">
        <v>209</v>
      </c>
      <c r="G46" s="90"/>
      <c r="H46" s="816" t="s">
        <v>582</v>
      </c>
      <c r="I46" s="817"/>
    </row>
    <row r="47" spans="2:26" x14ac:dyDescent="0.2">
      <c r="B47" s="100" t="s">
        <v>235</v>
      </c>
      <c r="C47" s="90"/>
      <c r="D47" s="535"/>
      <c r="E47" s="535">
        <v>2</v>
      </c>
      <c r="F47" s="535"/>
      <c r="G47" s="90"/>
      <c r="H47" s="531" t="str">
        <f t="shared" ca="1" si="6"/>
        <v>Montag, den</v>
      </c>
      <c r="I47" s="532">
        <f ca="1">IF(AND(X47,Q$4,Q$5),HF_FR!H47,"")</f>
        <v>46188</v>
      </c>
      <c r="X47" s="596" t="b">
        <f ca="1">IF(ISERROR(HF_FR!H47),ERROR.TYPE(HF_FR!H47)&lt;&gt;6,TRUE)</f>
        <v>1</v>
      </c>
      <c r="Y47" s="596" t="b">
        <f t="shared" ca="1" si="12"/>
        <v>1</v>
      </c>
    </row>
    <row r="48" spans="2:26" x14ac:dyDescent="0.2">
      <c r="B48" s="100" t="s">
        <v>236</v>
      </c>
      <c r="C48" s="90"/>
      <c r="D48" s="535"/>
      <c r="E48" s="535">
        <v>1</v>
      </c>
      <c r="F48" s="535"/>
      <c r="G48" s="90"/>
      <c r="H48" s="531" t="str">
        <f t="shared" ca="1" si="6"/>
        <v>Montag, den</v>
      </c>
      <c r="I48" s="532">
        <f ca="1">IF(AND(X48,Q$4,Q$5),HF_FR!H48,"")</f>
        <v>46195</v>
      </c>
      <c r="X48" s="596" t="b">
        <f ca="1">IF(ISERROR(HF_FR!H48),ERROR.TYPE(HF_FR!H48)&lt;&gt;6,TRUE)</f>
        <v>1</v>
      </c>
      <c r="Y48" s="596" t="b">
        <f t="shared" ca="1" si="12"/>
        <v>1</v>
      </c>
    </row>
    <row r="49" spans="1:27" x14ac:dyDescent="0.2">
      <c r="B49" s="100" t="s">
        <v>237</v>
      </c>
      <c r="C49" s="90"/>
      <c r="D49" s="536"/>
      <c r="E49" s="536"/>
      <c r="F49" s="536">
        <v>3</v>
      </c>
      <c r="G49" s="90"/>
      <c r="H49" s="537" t="str">
        <f t="shared" ca="1" si="6"/>
        <v>Freitag, den</v>
      </c>
      <c r="I49" s="532">
        <f ca="1">IF(AND(X49,Q$4,Q$5),HF_FR!H49,"")</f>
        <v>46199</v>
      </c>
      <c r="X49" s="596" t="b">
        <f ca="1">IF(ISERROR(HF_FR!H49),ERROR.TYPE(HF_FR!H49)&lt;&gt;6,TRUE)</f>
        <v>1</v>
      </c>
      <c r="Y49" s="596" t="b">
        <f t="shared" ca="1" si="12"/>
        <v>1</v>
      </c>
    </row>
    <row r="50" spans="1:27" x14ac:dyDescent="0.2">
      <c r="B50" s="100" t="s">
        <v>37</v>
      </c>
      <c r="C50" s="90"/>
      <c r="D50" s="536"/>
      <c r="E50" s="536">
        <v>1</v>
      </c>
      <c r="F50" s="536"/>
      <c r="G50" s="90"/>
      <c r="H50" s="537" t="str">
        <f ca="1">IF(I50&lt;&gt;"",TEXT(WEEKDAY(I50), "TTTT")&amp;", den","")</f>
        <v>Montag, den</v>
      </c>
      <c r="I50" s="532">
        <f ca="1">IF(AND(X50,Q$4,Q$5),HF_FR!H50,"")</f>
        <v>46195</v>
      </c>
      <c r="X50" s="596" t="b">
        <f ca="1">IF(ISERROR(HF_FR!H50),ERROR.TYPE(HF_FR!H50)&lt;&gt;6,TRUE)</f>
        <v>1</v>
      </c>
      <c r="Y50" s="596" t="b">
        <f t="shared" ca="1" si="12"/>
        <v>1</v>
      </c>
    </row>
    <row r="51" spans="1:27" ht="13.5" thickBot="1" x14ac:dyDescent="0.25">
      <c r="B51" s="273" t="s">
        <v>38</v>
      </c>
      <c r="C51" s="104"/>
      <c r="D51" s="538"/>
      <c r="E51" s="538"/>
      <c r="F51" s="538">
        <v>3</v>
      </c>
      <c r="G51" s="104"/>
      <c r="H51" s="539" t="str">
        <f ca="1">IF(I51&lt;&gt;"",TEXT(WEEKDAY(I51), "TTTT")&amp;", den","")</f>
        <v>Freitag, den</v>
      </c>
      <c r="I51" s="540">
        <f ca="1">IF(AND(X51,Q$4,Q$5),HF_FR!H51,"")</f>
        <v>46199</v>
      </c>
      <c r="X51" s="596" t="b">
        <f ca="1">IF(ISERROR(HF_FR!H51),ERROR.TYPE(HF_FR!H51)&lt;&gt;6,TRUE)</f>
        <v>1</v>
      </c>
      <c r="Y51" s="596" t="b">
        <f t="shared" ca="1" si="12"/>
        <v>1</v>
      </c>
    </row>
    <row r="52" spans="1:27" ht="13.5" thickBot="1" x14ac:dyDescent="0.25"/>
    <row r="53" spans="1:27" ht="13.5" thickBot="1" x14ac:dyDescent="0.25">
      <c r="A53" s="59" t="s">
        <v>30</v>
      </c>
      <c r="B53" s="584" t="s">
        <v>264</v>
      </c>
      <c r="C53" s="584"/>
      <c r="D53" s="584"/>
      <c r="E53" s="584"/>
      <c r="F53" s="584"/>
      <c r="G53" s="584"/>
      <c r="H53" s="584"/>
      <c r="I53" s="584" t="s">
        <v>265</v>
      </c>
      <c r="J53" s="585"/>
      <c r="K53" s="585"/>
      <c r="L53" s="585"/>
      <c r="M53" s="585"/>
      <c r="N53" s="541"/>
      <c r="O53" s="61"/>
    </row>
    <row r="54" spans="1:27" x14ac:dyDescent="0.2">
      <c r="B54" s="68" t="s">
        <v>572</v>
      </c>
      <c r="C54" s="542"/>
      <c r="D54" s="542"/>
      <c r="E54" s="64" t="s">
        <v>238</v>
      </c>
      <c r="F54" s="64" t="s">
        <v>207</v>
      </c>
      <c r="G54" s="64" t="s">
        <v>208</v>
      </c>
      <c r="H54" s="64" t="s">
        <v>239</v>
      </c>
      <c r="I54" s="543" t="s">
        <v>195</v>
      </c>
      <c r="J54" s="543" t="s">
        <v>196</v>
      </c>
      <c r="K54" s="543" t="s">
        <v>573</v>
      </c>
      <c r="L54" s="74" t="s">
        <v>568</v>
      </c>
      <c r="M54" s="74" t="s">
        <v>97</v>
      </c>
      <c r="N54" s="818" t="s">
        <v>473</v>
      </c>
      <c r="O54" s="814"/>
    </row>
    <row r="55" spans="1:27" x14ac:dyDescent="0.2">
      <c r="B55" s="819"/>
      <c r="C55" s="827"/>
      <c r="D55" s="820"/>
      <c r="E55" s="653"/>
      <c r="F55" s="653"/>
      <c r="G55" s="653"/>
      <c r="H55" s="655" t="s">
        <v>240</v>
      </c>
      <c r="I55" s="648"/>
      <c r="J55" s="656"/>
      <c r="K55" s="544" t="str">
        <f ca="1">IF(O55&lt;&gt;"",IF(AND(I55&gt;0,J55&gt;0),HF_FR!N55,""),"")</f>
        <v/>
      </c>
      <c r="L55" s="545"/>
      <c r="M55" s="545"/>
      <c r="N55" s="546" t="str">
        <f ca="1">IF(O55&lt;&gt;"",TEXT(WEEKDAY(O55), "TTTT")&amp;", den","")</f>
        <v/>
      </c>
      <c r="O55" s="547" t="str">
        <f ca="1">IF(AND(X55,Q$4,Q$5,Q55:W55),IF(OR(E55&gt;0,F55&gt;0,G55&gt;0),HF_FR!U55,""),"")</f>
        <v/>
      </c>
      <c r="Q55" s="596" t="b">
        <f ca="1">IF(OR(ISERROR(E55),ISTEXT(E55)),FALSE,NOT(OR(E55&lt;0,E55-INT(E55)&gt;0,NOT($X55))))</f>
        <v>1</v>
      </c>
      <c r="R55" s="596" t="b">
        <f t="shared" ref="R55:R57" ca="1" si="13">IF(OR(ISERROR(F55),ISTEXT(F55)),FALSE,NOT(OR(F55&lt;0,F55-INT(F55)&gt;0,NOT($X55))))</f>
        <v>1</v>
      </c>
      <c r="S55" s="596" t="b">
        <f t="shared" ref="S55:S57" ca="1" si="14">IF(OR(ISERROR(G55),ISTEXT(G55)),FALSE,NOT(OR(G55&lt;0,G55-INT(G55)&gt;0,NOT($X55))))</f>
        <v>1</v>
      </c>
      <c r="T55" s="596" t="b">
        <f t="array" ref="T55">IF(ISERROR(H55),FALSE,OR(EXACT(H55,$AB$30:$AB$31)))</f>
        <v>1</v>
      </c>
      <c r="U55" s="596" t="b">
        <f ca="1">IF(OR(ISERROR(I55),ISTEXT(I55)),FALSE,NOT(OR(AND(I55=0,I55&lt;&gt;""),I55&lt;0,AND(OR(Z55,AA55),I55=""),IF(OR(ISERROR(J55),ISERROR(I$4)),FALSE,OR(AND(J55&gt;HF_FR!B55,NOT(ISTEXT(J55)),OR(I55&gt;J55,I55="")),AND(I55&gt;0,I55&lt;=HF_FR!B55))),IF(AND($Q$4,Q55:S55),IF(E55+F55+G55&gt;0,I55&gt;HF_FR!I55,FALSE)))))</f>
        <v>1</v>
      </c>
      <c r="V55" s="596" t="b">
        <f ca="1">IF(OR(ISERROR(J55),ISTEXT(J55)),FALSE,NOT(OR(AND(J55=0,J55&lt;&gt;""),J55&lt;0,AND(OR(Z55,AA55),J55=""),IF(OR(ISERROR(I55),ISERROR(I$4)),FALSE,OR(AND(I55&gt;HF_FR!B55,IF(AND($Q$4,Q55:S55),IF(E55+F55+G55&gt;0,I55&lt;=HF_FR!I55,TRUE),TRUE),NOT(ISTEXT(I55)),OR(I55&gt;J55,J55="")),AND(J55&gt;0,J55&lt;=HF_FR!B55))))))</f>
        <v>1</v>
      </c>
      <c r="W55" s="596" t="b">
        <f>NOT(AND(Z55,AA55))</f>
        <v>1</v>
      </c>
      <c r="X55" s="596" t="b">
        <f ca="1">IF(ISERROR(HF_FR!U55),ERROR.TYPE(HF_FR!U55)&lt;&gt;6,TRUE)</f>
        <v>1</v>
      </c>
      <c r="Y55" s="596" t="b">
        <f ca="1">IF(O55="",TRUE,NOT(OR(YEAR(O55)&lt;YEAR(TODAY())-5,YEAR(O55)&gt;YEAR(TODAY())+5)))</f>
        <v>1</v>
      </c>
      <c r="Z55" s="597" t="b">
        <v>0</v>
      </c>
      <c r="AA55" s="597" t="b">
        <v>0</v>
      </c>
    </row>
    <row r="56" spans="1:27" x14ac:dyDescent="0.2">
      <c r="B56" s="821"/>
      <c r="C56" s="825"/>
      <c r="D56" s="822"/>
      <c r="E56" s="607"/>
      <c r="F56" s="607"/>
      <c r="G56" s="607"/>
      <c r="H56" s="548" t="s">
        <v>240</v>
      </c>
      <c r="I56" s="489"/>
      <c r="J56" s="549"/>
      <c r="K56" s="544" t="str">
        <f ca="1">IF(O56&lt;&gt;"",IF(AND(I56&gt;0,J56&gt;0),HF_FR!N56,""),"")</f>
        <v/>
      </c>
      <c r="L56" s="545"/>
      <c r="M56" s="545"/>
      <c r="N56" s="546" t="str">
        <f t="shared" ref="N56:N65" ca="1" si="15">IF(O56&lt;&gt;"",TEXT(WEEKDAY(O56), "TTTT")&amp;", den","")</f>
        <v/>
      </c>
      <c r="O56" s="547" t="str">
        <f ca="1">IF(AND(X56,Q$4,Q$5,Q56:W56),IF(OR(E56&gt;0,F56&gt;0,G56&gt;0),HF_FR!U56,""),"")</f>
        <v/>
      </c>
      <c r="Q56" s="596" t="b">
        <f t="shared" ref="Q56:Q57" ca="1" si="16">IF(OR(ISERROR(E56),ISTEXT(E56)),FALSE,NOT(OR(E56&lt;0,E56-INT(E56)&gt;0,NOT($X56))))</f>
        <v>1</v>
      </c>
      <c r="R56" s="596" t="b">
        <f t="shared" ca="1" si="13"/>
        <v>1</v>
      </c>
      <c r="S56" s="596" t="b">
        <f t="shared" ca="1" si="14"/>
        <v>1</v>
      </c>
      <c r="T56" s="596" t="b">
        <f t="array" ref="T56">IF(ISERROR(H56),FALSE,OR(EXACT(H56,$AB$30:$AB$31)))</f>
        <v>1</v>
      </c>
      <c r="U56" s="596" t="b">
        <f ca="1">IF(OR(ISERROR(I56),ISTEXT(I56)),FALSE,NOT(OR(AND(I56=0,I56&lt;&gt;""),I56&lt;0,AND(OR(Z56,AA56),I56=""),IF(OR(ISERROR(J56),ISERROR(I$4)),FALSE,OR(AND(J56&gt;HF_FR!B56,NOT(ISTEXT(J56)),OR(I56&gt;J56,I56="")),AND(I56&gt;0,I56&lt;=HF_FR!B56))),IF(AND($Q$4,Q56:S56),IF(E56+F56+G56&gt;0,I56&gt;HF_FR!I56,FALSE)))))</f>
        <v>1</v>
      </c>
      <c r="V56" s="596" t="b">
        <f ca="1">IF(OR(ISERROR(J56),ISTEXT(J56)),FALSE,NOT(OR(AND(J56=0,J56&lt;&gt;""),J56&lt;0,AND(OR(Z56,AA56),J56=""),IF(OR(ISERROR(I56),ISERROR(I$4)),FALSE,OR(AND(I56&gt;HF_FR!B56,IF(AND($Q$4,Q56:S56),IF(E56+F56+G56&gt;0,I56&lt;=HF_FR!I56,TRUE),TRUE),NOT(ISTEXT(I56)),OR(I56&gt;J56,J56="")),AND(J56&gt;0,J56&lt;=HF_FR!B56))))))</f>
        <v>1</v>
      </c>
      <c r="W56" s="596" t="b">
        <f t="shared" ref="W56:W57" si="17">NOT(AND(Z56,AA56))</f>
        <v>1</v>
      </c>
      <c r="X56" s="596" t="b">
        <f ca="1">IF(ISERROR(HF_FR!U56),ERROR.TYPE(HF_FR!U56)&lt;&gt;6,TRUE)</f>
        <v>1</v>
      </c>
      <c r="Y56" s="596" t="b">
        <f t="shared" ref="Y56:Y57" ca="1" si="18">IF(O56="",TRUE,NOT(OR(YEAR(O56)&lt;YEAR(TODAY())-5,YEAR(O56)&gt;YEAR(TODAY())+5)))</f>
        <v>1</v>
      </c>
      <c r="Z56" s="597" t="b">
        <v>0</v>
      </c>
      <c r="AA56" s="597" t="b">
        <v>0</v>
      </c>
    </row>
    <row r="57" spans="1:27" x14ac:dyDescent="0.2">
      <c r="B57" s="823"/>
      <c r="C57" s="826"/>
      <c r="D57" s="824"/>
      <c r="E57" s="609"/>
      <c r="F57" s="609"/>
      <c r="G57" s="609"/>
      <c r="H57" s="550" t="s">
        <v>240</v>
      </c>
      <c r="I57" s="551"/>
      <c r="J57" s="552"/>
      <c r="K57" s="544" t="str">
        <f ca="1">IF(O57&lt;&gt;"",IF(AND(I57&gt;0,J57&gt;0),HF_FR!N57,""),"")</f>
        <v/>
      </c>
      <c r="L57" s="545"/>
      <c r="M57" s="545"/>
      <c r="N57" s="546" t="str">
        <f t="shared" ca="1" si="15"/>
        <v/>
      </c>
      <c r="O57" s="547" t="str">
        <f ca="1">IF(AND(X57,Q$4,Q$5,Q57:W57),IF(OR(E57&gt;0,F57&gt;0,G57&gt;0),HF_FR!U57,""),"")</f>
        <v/>
      </c>
      <c r="Q57" s="596" t="b">
        <f t="shared" ca="1" si="16"/>
        <v>1</v>
      </c>
      <c r="R57" s="596" t="b">
        <f t="shared" ca="1" si="13"/>
        <v>1</v>
      </c>
      <c r="S57" s="596" t="b">
        <f t="shared" ca="1" si="14"/>
        <v>1</v>
      </c>
      <c r="T57" s="596" t="b">
        <f t="array" ref="T57">IF(ISERROR(H57),FALSE,OR(EXACT(H57,$AB$30:$AB$31)))</f>
        <v>1</v>
      </c>
      <c r="U57" s="596" t="b">
        <f ca="1">IF(OR(ISERROR(I57),ISTEXT(I57)),FALSE,NOT(OR(AND(I57=0,I57&lt;&gt;""),I57&lt;0,AND(OR(Z57,AA57),I57=""),IF(OR(ISERROR(J57),ISERROR(I$4)),FALSE,OR(AND(J57&gt;HF_FR!B57,NOT(ISTEXT(J57)),OR(I57&gt;J57,I57="")),AND(I57&gt;0,I57&lt;=HF_FR!B57))),IF(AND($Q$4,Q57:S57),IF(E57+F57+G57&gt;0,I57&gt;HF_FR!I57,FALSE)))))</f>
        <v>1</v>
      </c>
      <c r="V57" s="596" t="b">
        <f ca="1">IF(OR(ISERROR(J57),ISTEXT(J57)),FALSE,NOT(OR(AND(J57=0,J57&lt;&gt;""),J57&lt;0,AND(OR(Z57,AA57),J57=""),IF(OR(ISERROR(I57),ISERROR(I$4)),FALSE,OR(AND(I57&gt;HF_FR!B57,IF(AND($Q$4,Q57:S57),IF(E57+F57+G57&gt;0,I57&lt;=HF_FR!I57,TRUE),TRUE),NOT(ISTEXT(I57)),OR(I57&gt;J57,J57="")),AND(J57&gt;0,J57&lt;=HF_FR!B57))))))</f>
        <v>1</v>
      </c>
      <c r="W57" s="596" t="b">
        <f t="shared" si="17"/>
        <v>1</v>
      </c>
      <c r="X57" s="596" t="b">
        <f ca="1">IF(ISERROR(HF_FR!U57),ERROR.TYPE(HF_FR!U57)&lt;&gt;6,TRUE)</f>
        <v>1</v>
      </c>
      <c r="Y57" s="596" t="b">
        <f t="shared" ca="1" si="18"/>
        <v>1</v>
      </c>
      <c r="Z57" s="597" t="b">
        <v>0</v>
      </c>
      <c r="AA57" s="597" t="b">
        <v>0</v>
      </c>
    </row>
    <row r="58" spans="1:27" x14ac:dyDescent="0.2">
      <c r="B58" s="68" t="s">
        <v>266</v>
      </c>
      <c r="C58" s="542"/>
      <c r="D58" s="542"/>
      <c r="E58" s="64" t="s">
        <v>238</v>
      </c>
      <c r="F58" s="64" t="s">
        <v>207</v>
      </c>
      <c r="G58" s="64" t="s">
        <v>208</v>
      </c>
      <c r="H58" s="64" t="s">
        <v>239</v>
      </c>
      <c r="I58" s="543" t="s">
        <v>195</v>
      </c>
      <c r="J58" s="543" t="s">
        <v>196</v>
      </c>
      <c r="K58" s="543"/>
      <c r="L58" s="543"/>
      <c r="M58" s="543"/>
      <c r="N58" s="818" t="s">
        <v>473</v>
      </c>
      <c r="O58" s="814"/>
    </row>
    <row r="59" spans="1:27" x14ac:dyDescent="0.2">
      <c r="B59" s="62" t="s">
        <v>241</v>
      </c>
      <c r="C59" s="74"/>
      <c r="D59" s="74"/>
      <c r="E59" s="553">
        <v>3</v>
      </c>
      <c r="F59" s="553"/>
      <c r="G59" s="553"/>
      <c r="H59" s="64" t="s">
        <v>242</v>
      </c>
      <c r="I59" s="657"/>
      <c r="J59" s="656"/>
      <c r="K59" s="544" t="str">
        <f ca="1">IF(O59&lt;&gt;"",IF(AND(I59&gt;0,J59&gt;0),HF_FR!N59,""),"")</f>
        <v/>
      </c>
      <c r="L59" s="545"/>
      <c r="M59" s="545"/>
      <c r="N59" s="546" t="str">
        <f t="shared" ca="1" si="15"/>
        <v>Montag, den</v>
      </c>
      <c r="O59" s="547">
        <f ca="1">IF(AND(X59,Q$4,Q$5,Q59:W59),IF(OR(E59&gt;0,F59&gt;0,G59&gt;0),HF_FR!U59,""),"")</f>
        <v>47483</v>
      </c>
      <c r="U59" s="596" t="b">
        <f ca="1">IF(OR(ISERROR(I59),ISTEXT(I59)),FALSE,NOT(OR(AND(I59=0,I59&lt;&gt;""),I59&lt;0,AND(OR(Z59,AA59),I59=""),IF(OR(ISERROR(J59),ISERROR(I$4)),FALSE,OR(AND(J59&gt;HF_FR!B59,NOT(ISTEXT(J59)),OR(I59&gt;J59,I59="")),AND(I59&gt;0,I59&lt;=HF_FR!B59))),IF(AND($Q$4,Q59:S59),IF(E59+F59+G59&gt;0,I59&gt;HF_FR!I59,FALSE)))))</f>
        <v>1</v>
      </c>
      <c r="V59" s="596" t="b">
        <f ca="1">IF(OR(ISERROR(J59),ISTEXT(J59)),FALSE,NOT(OR(AND(J59=0,J59&lt;&gt;""),J59&lt;0,AND(OR(Z59,AA59),J59=""),IF(OR(ISERROR(I59),ISERROR(I$4)),FALSE,OR(AND(I59&gt;HF_FR!B59,IF(AND($Q$4,Q59:S59),IF(E59+F59+G59&gt;0,I59&lt;=HF_FR!I59,TRUE),TRUE),NOT(ISTEXT(I59)),OR(I59&gt;J59,J59="")),AND(J59&gt;0,J59&lt;=HF_FR!B59))))))</f>
        <v>1</v>
      </c>
      <c r="W59" s="596" t="b">
        <f t="shared" ref="W59:W62" si="19">NOT(AND(Z59,AA59))</f>
        <v>1</v>
      </c>
      <c r="X59" s="596" t="b">
        <f ca="1">IF(ISERROR(HF_FR!U59),ERROR.TYPE(HF_FR!U59)&lt;&gt;6,TRUE)</f>
        <v>1</v>
      </c>
      <c r="Y59" s="596" t="b">
        <f t="shared" ref="Y59:Y62" ca="1" si="20">IF(O59="",TRUE,NOT(OR(YEAR(O59)&lt;YEAR(TODAY())-5,YEAR(O59)&gt;YEAR(TODAY())+5)))</f>
        <v>1</v>
      </c>
      <c r="Z59" s="597" t="b">
        <v>0</v>
      </c>
      <c r="AA59" s="597" t="b">
        <v>0</v>
      </c>
    </row>
    <row r="60" spans="1:27" x14ac:dyDescent="0.2">
      <c r="B60" s="62" t="s">
        <v>480</v>
      </c>
      <c r="C60" s="74"/>
      <c r="D60" s="74"/>
      <c r="E60" s="553">
        <v>10</v>
      </c>
      <c r="F60" s="553"/>
      <c r="G60" s="553"/>
      <c r="H60" s="64" t="s">
        <v>240</v>
      </c>
      <c r="I60" s="373"/>
      <c r="J60" s="549"/>
      <c r="K60" s="544" t="str">
        <f ca="1">IF(O60&lt;&gt;"",IF(AND(I60&gt;0,J60&gt;0),HF_FR!N60,""),"")</f>
        <v/>
      </c>
      <c r="L60" s="545"/>
      <c r="M60" s="545"/>
      <c r="N60" s="546" t="str">
        <f t="shared" ca="1" si="15"/>
        <v>Montag, den</v>
      </c>
      <c r="O60" s="547">
        <f ca="1">IF(AND(X60,Q$4,Q$5,Q60:W60),IF(OR(E60&gt;0,F60&gt;0,G60&gt;0),HF_FR!U60,""),"")</f>
        <v>49856</v>
      </c>
      <c r="U60" s="596" t="b">
        <f ca="1">IF(OR(ISERROR(I60),ISTEXT(I60)),FALSE,NOT(OR(AND(I60=0,I60&lt;&gt;""),I60&lt;0,AND(OR(Z60,AA60),I60=""),IF(OR(ISERROR(J60),ISERROR(I$4)),FALSE,OR(AND(J60&gt;HF_FR!B60,NOT(ISTEXT(J60)),OR(I60&gt;J60,I60="")),AND(I60&gt;0,I60&lt;=HF_FR!B60))),IF(AND($Q$4,Q60:S60),IF(E60+F60+G60&gt;0,I60&gt;HF_FR!I60,FALSE)))))</f>
        <v>1</v>
      </c>
      <c r="V60" s="596" t="b">
        <f ca="1">IF(OR(ISERROR(J60),ISTEXT(J60)),FALSE,NOT(OR(AND(J60=0,J60&lt;&gt;""),J60&lt;0,AND(OR(Z60,AA60),J60=""),IF(OR(ISERROR(I60),ISERROR(I$4)),FALSE,OR(AND(I60&gt;HF_FR!B60,IF(AND($Q$4,Q60:S60),IF(E60+F60+G60&gt;0,I60&lt;=HF_FR!I60,TRUE),TRUE),NOT(ISTEXT(I60)),OR(I60&gt;J60,J60="")),AND(J60&gt;0,J60&lt;=HF_FR!B60))))))</f>
        <v>1</v>
      </c>
      <c r="W60" s="596" t="b">
        <f t="shared" si="19"/>
        <v>1</v>
      </c>
      <c r="X60" s="596" t="b">
        <f ca="1">IF(ISERROR(HF_FR!U60),ERROR.TYPE(HF_FR!U60)&lt;&gt;6,TRUE)</f>
        <v>1</v>
      </c>
      <c r="Y60" s="596" t="b">
        <f t="shared" ca="1" si="20"/>
        <v>0</v>
      </c>
      <c r="Z60" s="597" t="b">
        <v>0</v>
      </c>
      <c r="AA60" s="597" t="b">
        <v>0</v>
      </c>
    </row>
    <row r="61" spans="1:27" x14ac:dyDescent="0.2">
      <c r="B61" s="62" t="s">
        <v>481</v>
      </c>
      <c r="C61" s="74"/>
      <c r="D61" s="74"/>
      <c r="E61" s="553">
        <v>30</v>
      </c>
      <c r="F61" s="553"/>
      <c r="G61" s="553"/>
      <c r="H61" s="64" t="s">
        <v>240</v>
      </c>
      <c r="I61" s="373"/>
      <c r="J61" s="549"/>
      <c r="K61" s="544" t="str">
        <f ca="1">IF(O61&lt;&gt;"",IF(AND(I61&gt;0,J61&gt;0),HF_FR!N61,""),"")</f>
        <v/>
      </c>
      <c r="L61" s="545"/>
      <c r="M61" s="545"/>
      <c r="N61" s="546" t="str">
        <f t="shared" ca="1" si="15"/>
        <v>Freitag, den</v>
      </c>
      <c r="O61" s="547">
        <f ca="1">IF(AND(X61,Q$4,Q$5,Q61:W61),IF(OR(E61&gt;0,F61&gt;0,G61&gt;0),HF_FR!U61,""),"")</f>
        <v>57161</v>
      </c>
      <c r="U61" s="596" t="b">
        <f ca="1">IF(OR(ISERROR(I61),ISTEXT(I61)),FALSE,NOT(OR(AND(I61=0,I61&lt;&gt;""),I61&lt;0,AND(OR(Z61,AA61),I61=""),IF(OR(ISERROR(J61),ISERROR(I$4)),FALSE,OR(AND(J61&gt;HF_FR!B61,NOT(ISTEXT(J61)),OR(I61&gt;J61,I61="")),AND(I61&gt;0,I61&lt;=HF_FR!B61))),IF(AND($Q$4,Q61:S61),IF(E61+F61+G61&gt;0,I61&gt;HF_FR!I61,FALSE)))))</f>
        <v>1</v>
      </c>
      <c r="V61" s="596" t="b">
        <f ca="1">IF(OR(ISERROR(J61),ISTEXT(J61)),FALSE,NOT(OR(AND(J61=0,J61&lt;&gt;""),J61&lt;0,AND(OR(Z61,AA61),J61=""),IF(OR(ISERROR(I61),ISERROR(I$4)),FALSE,OR(AND(I61&gt;HF_FR!B61,IF(AND($Q$4,Q61:S61),IF(E61+F61+G61&gt;0,I61&lt;=HF_FR!I61,TRUE),TRUE),NOT(ISTEXT(I61)),OR(I61&gt;J61,J61="")),AND(J61&gt;0,J61&lt;=HF_FR!B61))))))</f>
        <v>1</v>
      </c>
      <c r="W61" s="596" t="b">
        <f t="shared" si="19"/>
        <v>1</v>
      </c>
      <c r="X61" s="596" t="b">
        <f ca="1">IF(ISERROR(HF_FR!U61),ERROR.TYPE(HF_FR!U61)&lt;&gt;6,TRUE)</f>
        <v>1</v>
      </c>
      <c r="Y61" s="596" t="b">
        <f t="shared" ca="1" si="20"/>
        <v>0</v>
      </c>
      <c r="Z61" s="597" t="b">
        <v>0</v>
      </c>
      <c r="AA61" s="597" t="b">
        <v>0</v>
      </c>
    </row>
    <row r="62" spans="1:27" x14ac:dyDescent="0.2">
      <c r="B62" s="62" t="s">
        <v>243</v>
      </c>
      <c r="C62" s="74"/>
      <c r="D62" s="74"/>
      <c r="E62" s="553">
        <v>30</v>
      </c>
      <c r="F62" s="553"/>
      <c r="G62" s="553"/>
      <c r="H62" s="64" t="s">
        <v>240</v>
      </c>
      <c r="I62" s="376"/>
      <c r="J62" s="552"/>
      <c r="K62" s="544" t="str">
        <f ca="1">IF(O62&lt;&gt;"",IF(AND(I62&gt;0,J62&gt;0),HF_FR!N62,""),"")</f>
        <v/>
      </c>
      <c r="L62" s="545"/>
      <c r="M62" s="545"/>
      <c r="N62" s="546" t="str">
        <f t="shared" ca="1" si="15"/>
        <v>Freitag, den</v>
      </c>
      <c r="O62" s="547">
        <f ca="1">IF(AND(X62,Q$4,Q$5,Q62:W62),IF(OR(E62&gt;0,F62&gt;0,G62&gt;0),HF_FR!U62,""),"")</f>
        <v>57161</v>
      </c>
      <c r="U62" s="596" t="b">
        <f ca="1">IF(OR(ISERROR(I62),ISTEXT(I62)),FALSE,NOT(OR(AND(I62=0,I62&lt;&gt;""),I62&lt;0,AND(OR(Z62,AA62),I62=""),IF(OR(ISERROR(J62),ISERROR(I$4)),FALSE,OR(AND(J62&gt;HF_FR!B62,NOT(ISTEXT(J62)),OR(I62&gt;J62,I62="")),AND(I62&gt;0,I62&lt;=HF_FR!B62))),IF(AND($Q$4,Q62:S62),IF(E62+F62+G62&gt;0,I62&gt;HF_FR!I62,FALSE)))))</f>
        <v>1</v>
      </c>
      <c r="V62" s="596" t="b">
        <f ca="1">IF(OR(ISERROR(J62),ISTEXT(J62)),FALSE,NOT(OR(AND(J62=0,J62&lt;&gt;""),J62&lt;0,AND(OR(Z62,AA62),J62=""),IF(OR(ISERROR(I62),ISERROR(I$4)),FALSE,OR(AND(I62&gt;HF_FR!B62,IF(AND($Q$4,Q62:S62),IF(E62+F62+G62&gt;0,I62&lt;=HF_FR!I62,TRUE),TRUE),NOT(ISTEXT(I62)),OR(I62&gt;J62,J62="")),AND(J62&gt;0,J62&lt;=HF_FR!B62))))))</f>
        <v>1</v>
      </c>
      <c r="W62" s="596" t="b">
        <f t="shared" si="19"/>
        <v>1</v>
      </c>
      <c r="X62" s="596" t="b">
        <f ca="1">IF(ISERROR(HF_FR!U62),ERROR.TYPE(HF_FR!U62)&lt;&gt;6,TRUE)</f>
        <v>1</v>
      </c>
      <c r="Y62" s="596" t="b">
        <f t="shared" ca="1" si="20"/>
        <v>0</v>
      </c>
      <c r="Z62" s="597" t="b">
        <v>0</v>
      </c>
      <c r="AA62" s="597" t="b">
        <v>0</v>
      </c>
    </row>
    <row r="63" spans="1:27" x14ac:dyDescent="0.2">
      <c r="B63" s="68" t="s">
        <v>267</v>
      </c>
      <c r="C63" s="542"/>
      <c r="D63" s="542"/>
      <c r="E63" s="64" t="s">
        <v>238</v>
      </c>
      <c r="F63" s="64" t="s">
        <v>207</v>
      </c>
      <c r="G63" s="64" t="s">
        <v>208</v>
      </c>
      <c r="H63" s="64" t="s">
        <v>239</v>
      </c>
      <c r="I63" s="543" t="s">
        <v>195</v>
      </c>
      <c r="J63" s="543" t="s">
        <v>196</v>
      </c>
      <c r="K63" s="543"/>
      <c r="L63" s="543"/>
      <c r="M63" s="543"/>
      <c r="N63" s="818" t="s">
        <v>473</v>
      </c>
      <c r="O63" s="814"/>
    </row>
    <row r="64" spans="1:27" x14ac:dyDescent="0.2">
      <c r="B64" s="62" t="s">
        <v>244</v>
      </c>
      <c r="C64" s="74"/>
      <c r="D64" s="74"/>
      <c r="E64" s="553">
        <v>2</v>
      </c>
      <c r="F64" s="553"/>
      <c r="G64" s="553"/>
      <c r="H64" s="64" t="s">
        <v>240</v>
      </c>
      <c r="I64" s="657"/>
      <c r="J64" s="656"/>
      <c r="K64" s="544" t="str">
        <f ca="1">IF(O64&lt;&gt;"",IF(AND(I64&gt;0,J64&gt;0),HF_FR!N64,""),"")</f>
        <v/>
      </c>
      <c r="L64" s="545"/>
      <c r="M64" s="545"/>
      <c r="N64" s="546" t="str">
        <f t="shared" ca="1" si="15"/>
        <v>Freitag, den</v>
      </c>
      <c r="O64" s="547">
        <f ca="1">IF(AND(X64,Q$4,Q$5,Q64:W64),IF(OR(E64&gt;0,F64&gt;0,G64&gt;0),HF_FR!U64,""),"")</f>
        <v>46934</v>
      </c>
      <c r="U64" s="596" t="b">
        <f ca="1">IF(OR(ISERROR(I64),ISTEXT(I64)),FALSE,NOT(OR(AND(I64=0,I64&lt;&gt;""),I64&lt;0,AND(OR(Z64,AA64),I64=""),IF(OR(ISERROR(J64),ISERROR(I$4)),FALSE,OR(AND(J64&gt;HF_FR!B64,NOT(ISTEXT(J64)),OR(I64&gt;J64,I64="")),AND(I64&gt;0,I64&lt;=HF_FR!B64))),IF(AND($Q$4,Q64:S64),IF(E64+F64+G64&gt;0,I64&gt;HF_FR!I64,FALSE)))))</f>
        <v>1</v>
      </c>
      <c r="V64" s="596" t="b">
        <f ca="1">IF(OR(ISERROR(J64),ISTEXT(J64)),FALSE,NOT(OR(AND(J64=0,J64&lt;&gt;""),J64&lt;0,AND(OR(Z64,AA64),J64=""),IF(OR(ISERROR(I64),ISERROR(I$4)),FALSE,OR(AND(I64&gt;HF_FR!B64,IF(AND($Q$4,Q64:S64),IF(E64+F64+G64&gt;0,I64&lt;=HF_FR!I64,TRUE),TRUE),NOT(ISTEXT(I64)),OR(I64&gt;J64,J64="")),AND(J64&gt;0,J64&lt;=HF_FR!B64))))))</f>
        <v>1</v>
      </c>
      <c r="W64" s="596" t="b">
        <f t="shared" ref="W64:W65" si="21">NOT(AND(Z64,AA64))</f>
        <v>1</v>
      </c>
      <c r="X64" s="596" t="b">
        <f ca="1">IF(ISERROR(HF_FR!U64),ERROR.TYPE(HF_FR!U64)&lt;&gt;6,TRUE)</f>
        <v>1</v>
      </c>
      <c r="Y64" s="596" t="b">
        <f t="shared" ref="Y64:Y65" ca="1" si="22">IF(O64="",TRUE,NOT(OR(YEAR(O64)&lt;YEAR(TODAY())-5,YEAR(O64)&gt;YEAR(TODAY())+5)))</f>
        <v>1</v>
      </c>
      <c r="Z64" s="597" t="b">
        <v>0</v>
      </c>
      <c r="AA64" s="597" t="b">
        <v>0</v>
      </c>
    </row>
    <row r="65" spans="1:28" ht="13.5" thickBot="1" x14ac:dyDescent="0.25">
      <c r="B65" s="554" t="s">
        <v>245</v>
      </c>
      <c r="C65" s="79"/>
      <c r="D65" s="79"/>
      <c r="E65" s="555">
        <v>5</v>
      </c>
      <c r="F65" s="555"/>
      <c r="G65" s="555"/>
      <c r="H65" s="394" t="s">
        <v>240</v>
      </c>
      <c r="I65" s="491"/>
      <c r="J65" s="556"/>
      <c r="K65" s="658" t="str">
        <f ca="1">IF(O65&lt;&gt;"",IF(AND(I65&gt;0,J65&gt;0),HF_FR!N65,""),"")</f>
        <v/>
      </c>
      <c r="L65" s="557"/>
      <c r="M65" s="557"/>
      <c r="N65" s="558" t="str">
        <f t="shared" ca="1" si="15"/>
        <v>Montag, den</v>
      </c>
      <c r="O65" s="559">
        <f ca="1">IF(AND(X65,Q$4,Q$5,Q65:W65),IF(OR(E65&gt;0,F65&gt;0,G65&gt;0),HF_FR!U65,""),"")</f>
        <v>48029</v>
      </c>
      <c r="U65" s="596" t="b">
        <f ca="1">IF(OR(ISERROR(I65),ISTEXT(I65)),FALSE,NOT(OR(AND(I65=0,I65&lt;&gt;""),I65&lt;0,AND(OR(Z65,AA65),I65=""),IF(OR(ISERROR(J65),ISERROR(I$4)),FALSE,OR(AND(J65&gt;HF_FR!B65,NOT(ISTEXT(J65)),OR(I65&gt;J65,I65="")),AND(I65&gt;0,I65&lt;=HF_FR!B65))),IF(AND($Q$4,Q65:S65),IF(E65+F65+G65&gt;0,I65&gt;HF_FR!I65,FALSE)))))</f>
        <v>1</v>
      </c>
      <c r="V65" s="596" t="b">
        <f ca="1">IF(OR(ISERROR(J65),ISTEXT(J65)),FALSE,NOT(OR(AND(J65=0,J65&lt;&gt;""),J65&lt;0,AND(OR(Z65,AA65),J65=""),IF(OR(ISERROR(I65),ISERROR(I$4)),FALSE,OR(AND(I65&gt;HF_FR!B65,IF(AND($Q$4,Q65:S65),IF(E65+F65+G65&gt;0,I65&lt;=HF_FR!I65,TRUE),TRUE),NOT(ISTEXT(I65)),OR(I65&gt;J65,J65="")),AND(J65&gt;0,J65&lt;=HF_FR!B65))))))</f>
        <v>1</v>
      </c>
      <c r="W65" s="596" t="b">
        <f t="shared" si="21"/>
        <v>1</v>
      </c>
      <c r="X65" s="596" t="b">
        <f ca="1">IF(ISERROR(HF_FR!U65),ERROR.TYPE(HF_FR!U65)&lt;&gt;6,TRUE)</f>
        <v>1</v>
      </c>
      <c r="Y65" s="596" t="b">
        <f t="shared" ca="1" si="22"/>
        <v>1</v>
      </c>
      <c r="Z65" s="597" t="b">
        <v>0</v>
      </c>
      <c r="AA65" s="597" t="b">
        <v>0</v>
      </c>
    </row>
    <row r="66" spans="1:28" ht="13.5" thickBot="1" x14ac:dyDescent="0.25"/>
    <row r="67" spans="1:28" ht="13.5" thickBot="1" x14ac:dyDescent="0.25">
      <c r="A67" s="107" t="s">
        <v>31</v>
      </c>
      <c r="B67" s="108" t="s">
        <v>485</v>
      </c>
      <c r="C67" s="108"/>
      <c r="D67" s="108"/>
      <c r="E67" s="108"/>
      <c r="F67" s="108"/>
      <c r="G67" s="108"/>
      <c r="H67" s="560"/>
      <c r="I67" s="561"/>
    </row>
    <row r="68" spans="1:28" x14ac:dyDescent="0.2">
      <c r="B68" s="562" t="s">
        <v>206</v>
      </c>
      <c r="C68" s="523" t="s">
        <v>238</v>
      </c>
      <c r="D68" s="523" t="s">
        <v>207</v>
      </c>
      <c r="E68" s="523" t="s">
        <v>208</v>
      </c>
      <c r="F68" s="523" t="s">
        <v>209</v>
      </c>
      <c r="G68" s="523" t="s">
        <v>576</v>
      </c>
      <c r="H68" s="813" t="s">
        <v>581</v>
      </c>
      <c r="I68" s="814"/>
    </row>
    <row r="69" spans="1:28" x14ac:dyDescent="0.2">
      <c r="B69" s="590"/>
      <c r="C69" s="653"/>
      <c r="D69" s="653"/>
      <c r="E69" s="653"/>
      <c r="F69" s="654"/>
      <c r="G69" s="659"/>
      <c r="H69" s="524" t="str">
        <f ca="1">IF(I69&lt;&gt;"",TEXT(WEEKDAY(I69), "TTTT")&amp;", den","")</f>
        <v/>
      </c>
      <c r="I69" s="563" t="str">
        <f ca="1">IF(AND(X69,Q$4,OR(Q$5,NOT(Z69)),Q69:T69),IF(OR(C69&gt;0,D69&gt;0,E69&gt;0,F69&gt;0),HF_FR!I69,""),"")</f>
        <v/>
      </c>
      <c r="Q69" s="596" t="b">
        <f ca="1">IF(OR(ISERROR(C69),ISTEXT(C69)),FALSE,NOT(OR(C69&lt;0,C69-INT(C69)&gt;0,NOT($X69))))</f>
        <v>1</v>
      </c>
      <c r="R69" s="596" t="b">
        <f t="shared" ref="R69:R71" ca="1" si="23">IF(OR(ISERROR(D69),ISTEXT(D69)),FALSE,NOT(OR(D69&lt;0,D69-INT(D69)&gt;0,NOT($X69))))</f>
        <v>1</v>
      </c>
      <c r="S69" s="596" t="b">
        <f t="shared" ref="S69:S71" ca="1" si="24">IF(OR(ISERROR(E69),ISTEXT(E69)),FALSE,NOT(OR(E69&lt;0,E69-INT(E69)&gt;0,NOT($X69))))</f>
        <v>1</v>
      </c>
      <c r="T69" s="596" t="b">
        <f t="shared" ref="T69:T71" ca="1" si="25">IF(OR(ISERROR(F69),ISTEXT(F69)),FALSE,NOT(OR(F69&lt;0,F69-INT(F69)&gt;0,NOT($X69))))</f>
        <v>1</v>
      </c>
      <c r="X69" s="596" t="b">
        <f ca="1">IF(ISERROR(HF_FR!I69),ERROR.TYPE(HF_FR!I69)&lt;&gt;6,TRUE)</f>
        <v>1</v>
      </c>
      <c r="Y69" s="596" t="b">
        <f t="shared" ref="Y69:Y73" ca="1" si="26">IF(OR(I69="",NOT(Z69)),TRUE,NOT(OR(YEAR(I69)&lt;YEAR(TODAY())-5,YEAR(I69)&gt;YEAR(TODAY())+5)))</f>
        <v>1</v>
      </c>
      <c r="Z69" s="597" t="b">
        <v>1</v>
      </c>
    </row>
    <row r="70" spans="1:28" x14ac:dyDescent="0.2">
      <c r="B70" s="591"/>
      <c r="C70" s="607"/>
      <c r="D70" s="607"/>
      <c r="E70" s="607"/>
      <c r="F70" s="608"/>
      <c r="G70" s="659"/>
      <c r="H70" s="524" t="str">
        <f ca="1">IF(I70&lt;&gt;"",TEXT(WEEKDAY(I70), "TTTT")&amp;", den","")</f>
        <v/>
      </c>
      <c r="I70" s="563" t="str">
        <f ca="1">IF(AND(X70,Q$4,OR(Q$5,NOT(Z70)),Q70:T70),IF(OR(C70&gt;0,D70&gt;0,E70&gt;0,F70&gt;0),HF_FR!I70,""),"")</f>
        <v/>
      </c>
      <c r="Q70" s="596" t="b">
        <f t="shared" ref="Q70:Q71" ca="1" si="27">IF(OR(ISERROR(C70),ISTEXT(C70)),FALSE,NOT(OR(C70&lt;0,C70-INT(C70)&gt;0,NOT($X70))))</f>
        <v>1</v>
      </c>
      <c r="R70" s="596" t="b">
        <f t="shared" ca="1" si="23"/>
        <v>1</v>
      </c>
      <c r="S70" s="596" t="b">
        <f t="shared" ca="1" si="24"/>
        <v>1</v>
      </c>
      <c r="T70" s="596" t="b">
        <f t="shared" ca="1" si="25"/>
        <v>1</v>
      </c>
      <c r="X70" s="596" t="b">
        <f ca="1">IF(ISERROR(HF_FR!I70),ERROR.TYPE(HF_FR!I70)&lt;&gt;6,TRUE)</f>
        <v>1</v>
      </c>
      <c r="Y70" s="596" t="b">
        <f t="shared" ca="1" si="26"/>
        <v>1</v>
      </c>
      <c r="Z70" s="597" t="b">
        <v>1</v>
      </c>
    </row>
    <row r="71" spans="1:28" x14ac:dyDescent="0.2">
      <c r="B71" s="592"/>
      <c r="C71" s="609"/>
      <c r="D71" s="609"/>
      <c r="E71" s="609"/>
      <c r="F71" s="610"/>
      <c r="G71" s="659"/>
      <c r="H71" s="524" t="str">
        <f ca="1">IF(I71&lt;&gt;"",TEXT(WEEKDAY(I71), "TTTT")&amp;", den","")</f>
        <v/>
      </c>
      <c r="I71" s="563" t="str">
        <f ca="1">IF(AND(X71,Q$4,OR(Q$5,NOT(Z71)),Q71:T71),IF(OR(C71&gt;0,D71&gt;0,E71&gt;0,F71&gt;0),HF_FR!I71,""),"")</f>
        <v/>
      </c>
      <c r="Q71" s="596" t="b">
        <f t="shared" ca="1" si="27"/>
        <v>1</v>
      </c>
      <c r="R71" s="596" t="b">
        <f t="shared" ca="1" si="23"/>
        <v>1</v>
      </c>
      <c r="S71" s="596" t="b">
        <f t="shared" ca="1" si="24"/>
        <v>1</v>
      </c>
      <c r="T71" s="596" t="b">
        <f t="shared" ca="1" si="25"/>
        <v>1</v>
      </c>
      <c r="X71" s="596" t="b">
        <f ca="1">IF(ISERROR(HF_FR!I71),ERROR.TYPE(HF_FR!I71)&lt;&gt;6,TRUE)</f>
        <v>1</v>
      </c>
      <c r="Y71" s="596" t="b">
        <f t="shared" ca="1" si="26"/>
        <v>1</v>
      </c>
      <c r="Z71" s="597" t="b">
        <v>1</v>
      </c>
    </row>
    <row r="72" spans="1:28" x14ac:dyDescent="0.2">
      <c r="B72" s="562" t="s">
        <v>574</v>
      </c>
      <c r="C72" s="523" t="s">
        <v>238</v>
      </c>
      <c r="D72" s="523" t="s">
        <v>207</v>
      </c>
      <c r="E72" s="523" t="s">
        <v>208</v>
      </c>
      <c r="F72" s="523" t="s">
        <v>209</v>
      </c>
      <c r="G72" s="523" t="s">
        <v>576</v>
      </c>
      <c r="H72" s="813" t="s">
        <v>581</v>
      </c>
      <c r="I72" s="815"/>
    </row>
    <row r="73" spans="1:28" ht="13.5" thickBot="1" x14ac:dyDescent="0.25">
      <c r="B73" s="115" t="s">
        <v>575</v>
      </c>
      <c r="C73" s="116"/>
      <c r="D73" s="116"/>
      <c r="E73" s="564"/>
      <c r="F73" s="564">
        <v>30</v>
      </c>
      <c r="G73" s="565" t="s">
        <v>580</v>
      </c>
      <c r="H73" s="566" t="str">
        <f ca="1">IF(I73&lt;&gt;"",TEXT(WEEKDAY(I73), "TTTT")&amp;", den","")</f>
        <v>Donnerstag, den</v>
      </c>
      <c r="I73" s="567">
        <f ca="1">IF(AND(X73,Q$4,OR(Q$5,NOT(Z73))),HF_FR!I73,"")</f>
        <v>46233</v>
      </c>
      <c r="X73" s="596" t="b">
        <f ca="1">IF(ISERROR(HF_FR!I73),ERROR.TYPE(HF_FR!I73)&lt;&gt;6,TRUE)</f>
        <v>1</v>
      </c>
      <c r="Y73" s="596" t="b">
        <f t="shared" ca="1" si="26"/>
        <v>1</v>
      </c>
      <c r="Z73" s="596" t="b">
        <f>G73="ja"</f>
        <v>1</v>
      </c>
    </row>
    <row r="74" spans="1:28" ht="13.5" thickBot="1" x14ac:dyDescent="0.25"/>
    <row r="75" spans="1:28" s="618" customFormat="1" ht="13.5" thickBot="1" x14ac:dyDescent="0.25">
      <c r="A75" s="614" t="s">
        <v>653</v>
      </c>
      <c r="B75" s="644" t="s">
        <v>652</v>
      </c>
      <c r="H75" s="511"/>
      <c r="Q75" s="596"/>
      <c r="R75" s="596"/>
      <c r="S75" s="596"/>
      <c r="T75" s="596"/>
      <c r="U75" s="596"/>
      <c r="V75" s="596"/>
      <c r="W75" s="596"/>
      <c r="X75" s="596"/>
      <c r="Y75" s="596"/>
      <c r="Z75" s="596"/>
      <c r="AA75" s="596"/>
      <c r="AB75" s="596"/>
    </row>
    <row r="76" spans="1:28" s="606" customFormat="1" ht="13.5" thickBot="1" x14ac:dyDescent="0.25">
      <c r="B76" s="645" t="str">
        <f ca="1">IF(Q76,"Alle Eingaben sind formal fehlerfrei.","Die rot gefärbten Felder enthalten fehlerhafte oder keine Eingaben!")</f>
        <v>Alle Eingaben sind formal fehlerfrei.</v>
      </c>
      <c r="C76" s="511"/>
      <c r="D76" s="511"/>
      <c r="E76" s="511"/>
      <c r="F76" s="511"/>
      <c r="H76" s="511"/>
      <c r="Q76" s="596" t="b">
        <f ca="1">AND(Q4:Q5,Q10,Q15:S17,Q43:S45,Q55:W57,U59:W62,U64:W65,Q69:T71)</f>
        <v>1</v>
      </c>
      <c r="R76" s="596"/>
      <c r="S76" s="596"/>
      <c r="T76" s="596"/>
      <c r="U76" s="596"/>
      <c r="V76" s="596"/>
      <c r="W76" s="596"/>
      <c r="X76" s="596"/>
      <c r="Y76" s="596"/>
      <c r="Z76" s="596"/>
      <c r="AA76" s="596"/>
      <c r="AB76" s="596"/>
    </row>
    <row r="77" spans="1:28" s="606" customFormat="1" x14ac:dyDescent="0.2">
      <c r="H77" s="511"/>
      <c r="Q77" s="596"/>
      <c r="R77" s="596"/>
      <c r="S77" s="596"/>
      <c r="T77" s="596"/>
      <c r="U77" s="596"/>
      <c r="V77" s="596"/>
      <c r="W77" s="596"/>
      <c r="X77" s="596"/>
      <c r="Y77" s="596"/>
      <c r="Z77" s="596"/>
      <c r="AA77" s="596"/>
      <c r="AB77" s="596"/>
    </row>
    <row r="78" spans="1:28" x14ac:dyDescent="0.2">
      <c r="B78" s="282" t="str">
        <f>Übersicht!A30</f>
        <v>Haftungsausschluss</v>
      </c>
    </row>
    <row r="79" spans="1:28" x14ac:dyDescent="0.2">
      <c r="B79" s="58" t="str">
        <f>Übersicht!A31</f>
        <v>Für die Richtigkeit der rechtlichen Bewertungen und der Berechnungsergebnisse besteht trotz sorgfältiger Bearbeitung und Prüfung keine Gewähr.</v>
      </c>
    </row>
    <row r="81" spans="1:4" x14ac:dyDescent="0.2">
      <c r="B81" s="119" t="s">
        <v>150</v>
      </c>
      <c r="C81" s="119"/>
      <c r="D81" s="119"/>
    </row>
    <row r="82" spans="1:4" x14ac:dyDescent="0.2">
      <c r="A82" s="120" t="s">
        <v>360</v>
      </c>
      <c r="B82" s="121" t="s">
        <v>545</v>
      </c>
      <c r="C82" s="121"/>
      <c r="D82" s="121"/>
    </row>
    <row r="83" spans="1:4" x14ac:dyDescent="0.2">
      <c r="B83" s="51" t="s">
        <v>761</v>
      </c>
      <c r="C83" s="51"/>
      <c r="D83" s="245"/>
    </row>
    <row r="84" spans="1:4" x14ac:dyDescent="0.2">
      <c r="B84" s="51" t="s">
        <v>745</v>
      </c>
      <c r="C84" s="51"/>
      <c r="D84" s="245"/>
    </row>
    <row r="85" spans="1:4" x14ac:dyDescent="0.2">
      <c r="B85" s="51" t="s">
        <v>246</v>
      </c>
      <c r="C85" s="51"/>
      <c r="D85" s="245"/>
    </row>
    <row r="86" spans="1:4" x14ac:dyDescent="0.2">
      <c r="B86" s="51" t="s">
        <v>247</v>
      </c>
      <c r="C86" s="51"/>
      <c r="D86" s="245"/>
    </row>
    <row r="87" spans="1:4" x14ac:dyDescent="0.2">
      <c r="B87" s="51" t="s">
        <v>248</v>
      </c>
      <c r="C87" s="51"/>
      <c r="D87" s="245"/>
    </row>
    <row r="88" spans="1:4" x14ac:dyDescent="0.2">
      <c r="B88" s="51" t="s">
        <v>249</v>
      </c>
      <c r="C88" s="51"/>
      <c r="D88" s="245"/>
    </row>
    <row r="89" spans="1:4" x14ac:dyDescent="0.2">
      <c r="B89" s="121" t="s">
        <v>250</v>
      </c>
      <c r="C89" s="245"/>
      <c r="D89" s="245"/>
    </row>
    <row r="90" spans="1:4" x14ac:dyDescent="0.2">
      <c r="B90" s="51" t="s">
        <v>251</v>
      </c>
      <c r="C90" s="245"/>
      <c r="D90" s="245"/>
    </row>
    <row r="91" spans="1:4" x14ac:dyDescent="0.2">
      <c r="B91" s="51" t="s">
        <v>730</v>
      </c>
      <c r="C91" s="245"/>
      <c r="D91" s="245"/>
    </row>
    <row r="92" spans="1:4" x14ac:dyDescent="0.2">
      <c r="B92" s="51" t="s">
        <v>624</v>
      </c>
      <c r="C92" s="245"/>
      <c r="D92" s="245"/>
    </row>
    <row r="93" spans="1:4" x14ac:dyDescent="0.2">
      <c r="B93" s="51" t="s">
        <v>93</v>
      </c>
      <c r="C93" s="245"/>
      <c r="D93" s="245"/>
    </row>
    <row r="94" spans="1:4" x14ac:dyDescent="0.2">
      <c r="B94" s="121" t="s">
        <v>252</v>
      </c>
      <c r="C94" s="245"/>
      <c r="D94" s="245"/>
    </row>
    <row r="95" spans="1:4" x14ac:dyDescent="0.2">
      <c r="B95" s="51" t="s">
        <v>644</v>
      </c>
      <c r="C95" s="245"/>
      <c r="D95" s="245"/>
    </row>
    <row r="96" spans="1:4" x14ac:dyDescent="0.2">
      <c r="B96" s="569" t="s">
        <v>645</v>
      </c>
      <c r="C96" s="245"/>
      <c r="D96" s="245"/>
    </row>
    <row r="97" spans="1:4" x14ac:dyDescent="0.2">
      <c r="B97" s="51" t="s">
        <v>253</v>
      </c>
      <c r="C97" s="245"/>
      <c r="D97" s="245"/>
    </row>
    <row r="98" spans="1:4" x14ac:dyDescent="0.2">
      <c r="B98" s="51" t="s">
        <v>254</v>
      </c>
      <c r="C98" s="245"/>
      <c r="D98" s="245"/>
    </row>
    <row r="99" spans="1:4" x14ac:dyDescent="0.2">
      <c r="A99" s="120" t="s">
        <v>29</v>
      </c>
      <c r="B99" s="121" t="s">
        <v>263</v>
      </c>
      <c r="C99" s="245"/>
      <c r="D99" s="245"/>
    </row>
    <row r="100" spans="1:4" x14ac:dyDescent="0.2">
      <c r="A100" s="120" t="s">
        <v>30</v>
      </c>
      <c r="B100" s="121" t="s">
        <v>255</v>
      </c>
      <c r="C100" s="245"/>
      <c r="D100" s="245"/>
    </row>
    <row r="101" spans="1:4" x14ac:dyDescent="0.2">
      <c r="B101" s="51" t="s">
        <v>94</v>
      </c>
      <c r="C101" s="245"/>
      <c r="D101" s="245"/>
    </row>
    <row r="102" spans="1:4" x14ac:dyDescent="0.2">
      <c r="B102" s="51" t="s">
        <v>95</v>
      </c>
      <c r="C102" s="245"/>
      <c r="D102" s="245"/>
    </row>
    <row r="103" spans="1:4" x14ac:dyDescent="0.2">
      <c r="B103" s="121" t="s">
        <v>256</v>
      </c>
      <c r="C103" s="121"/>
      <c r="D103" s="121"/>
    </row>
    <row r="104" spans="1:4" x14ac:dyDescent="0.2">
      <c r="B104" s="51" t="s">
        <v>757</v>
      </c>
      <c r="C104" s="245"/>
      <c r="D104" s="245"/>
    </row>
    <row r="105" spans="1:4" x14ac:dyDescent="0.2">
      <c r="B105" s="51" t="s">
        <v>758</v>
      </c>
      <c r="C105" s="245"/>
      <c r="D105" s="245"/>
    </row>
    <row r="106" spans="1:4" x14ac:dyDescent="0.2">
      <c r="B106" s="51" t="s">
        <v>759</v>
      </c>
      <c r="C106" s="245"/>
      <c r="D106" s="245"/>
    </row>
    <row r="107" spans="1:4" x14ac:dyDescent="0.2">
      <c r="B107" s="51" t="s">
        <v>760</v>
      </c>
      <c r="C107" s="245"/>
      <c r="D107" s="245"/>
    </row>
    <row r="108" spans="1:4" x14ac:dyDescent="0.2">
      <c r="B108" s="51" t="s">
        <v>654</v>
      </c>
      <c r="C108" s="245"/>
      <c r="D108" s="245"/>
    </row>
    <row r="109" spans="1:4" x14ac:dyDescent="0.2">
      <c r="B109" s="51" t="s">
        <v>257</v>
      </c>
      <c r="C109" s="245"/>
      <c r="D109" s="245"/>
    </row>
    <row r="110" spans="1:4" x14ac:dyDescent="0.2">
      <c r="B110" s="51" t="s">
        <v>748</v>
      </c>
      <c r="C110" s="245"/>
      <c r="D110" s="245"/>
    </row>
    <row r="111" spans="1:4" x14ac:dyDescent="0.2">
      <c r="B111" s="51" t="s">
        <v>90</v>
      </c>
      <c r="C111" s="245"/>
      <c r="D111" s="245"/>
    </row>
    <row r="112" spans="1:4" x14ac:dyDescent="0.2">
      <c r="B112" s="51" t="s">
        <v>96</v>
      </c>
      <c r="C112" s="245"/>
      <c r="D112" s="245"/>
    </row>
    <row r="113" spans="2:4" x14ac:dyDescent="0.2">
      <c r="B113" s="51" t="s">
        <v>625</v>
      </c>
      <c r="C113" s="245"/>
      <c r="D113" s="245"/>
    </row>
    <row r="114" spans="2:4" x14ac:dyDescent="0.2">
      <c r="B114" s="51" t="s">
        <v>655</v>
      </c>
      <c r="C114" s="245"/>
      <c r="D114" s="245"/>
    </row>
    <row r="115" spans="2:4" x14ac:dyDescent="0.2">
      <c r="B115" s="121" t="s">
        <v>258</v>
      </c>
      <c r="C115" s="245"/>
      <c r="D115" s="245"/>
    </row>
    <row r="116" spans="2:4" x14ac:dyDescent="0.2">
      <c r="B116" s="51" t="s">
        <v>268</v>
      </c>
      <c r="C116" s="245"/>
      <c r="D116" s="245"/>
    </row>
    <row r="117" spans="2:4" x14ac:dyDescent="0.2">
      <c r="B117" s="51" t="s">
        <v>259</v>
      </c>
      <c r="C117" s="245"/>
      <c r="D117" s="245"/>
    </row>
  </sheetData>
  <sheetProtection sheet="1" objects="1" scenarios="1"/>
  <dataConsolidate/>
  <mergeCells count="21">
    <mergeCell ref="H5:I6"/>
    <mergeCell ref="H18:I18"/>
    <mergeCell ref="H35:I35"/>
    <mergeCell ref="H39:I39"/>
    <mergeCell ref="H14:I14"/>
    <mergeCell ref="B57:D57"/>
    <mergeCell ref="B55:D55"/>
    <mergeCell ref="B43:C43"/>
    <mergeCell ref="B44:C44"/>
    <mergeCell ref="B45:C45"/>
    <mergeCell ref="B15:C15"/>
    <mergeCell ref="B16:C16"/>
    <mergeCell ref="B17:C17"/>
    <mergeCell ref="H42:I42"/>
    <mergeCell ref="B56:D56"/>
    <mergeCell ref="H68:I68"/>
    <mergeCell ref="H72:I72"/>
    <mergeCell ref="H46:I46"/>
    <mergeCell ref="N54:O54"/>
    <mergeCell ref="N58:O58"/>
    <mergeCell ref="N63:O63"/>
  </mergeCells>
  <phoneticPr fontId="0" type="noConversion"/>
  <conditionalFormatting sqref="I9 I73 I47:I51 I43:I45 O55:O57 O59:O62 O64:O65 I15:I17 I19:I34 I36:I38 I40:I41 I69:I71">
    <cfRule type="expression" dxfId="11" priority="12" stopIfTrue="1">
      <formula>NOT($Y9)</formula>
    </cfRule>
  </conditionalFormatting>
  <conditionalFormatting sqref="I10">
    <cfRule type="expression" dxfId="10" priority="8" stopIfTrue="1">
      <formula>NOT(Q10)</formula>
    </cfRule>
    <cfRule type="expression" dxfId="9" priority="16" stopIfTrue="1">
      <formula>AND(Q10,NOT(Y10))</formula>
    </cfRule>
  </conditionalFormatting>
  <conditionalFormatting sqref="L55:M57 L59:M62 L64:M65">
    <cfRule type="expression" dxfId="8" priority="18" stopIfTrue="1">
      <formula>NOT($W55)</formula>
    </cfRule>
  </conditionalFormatting>
  <conditionalFormatting sqref="B76">
    <cfRule type="expression" dxfId="7" priority="23" stopIfTrue="1">
      <formula>NOT($Q76)</formula>
    </cfRule>
  </conditionalFormatting>
  <conditionalFormatting sqref="D15:F17 D43:F45">
    <cfRule type="expression" dxfId="6" priority="7" stopIfTrue="1">
      <formula>NOT(Q15)</formula>
    </cfRule>
  </conditionalFormatting>
  <conditionalFormatting sqref="C69:F71">
    <cfRule type="expression" dxfId="5" priority="6" stopIfTrue="1">
      <formula>NOT(Q69)</formula>
    </cfRule>
  </conditionalFormatting>
  <conditionalFormatting sqref="H5:I6">
    <cfRule type="expression" dxfId="4" priority="4" stopIfTrue="1">
      <formula>NOT($Q$5)</formula>
    </cfRule>
  </conditionalFormatting>
  <conditionalFormatting sqref="E55:J57 I59:J62 I64:J65">
    <cfRule type="expression" dxfId="3" priority="3" stopIfTrue="1">
      <formula>NOT(Q55)</formula>
    </cfRule>
  </conditionalFormatting>
  <conditionalFormatting sqref="I4">
    <cfRule type="expression" dxfId="2" priority="27" stopIfTrue="1">
      <formula>NOT(AND(Q4,X9,X15:X17,X19:X34,X36:X38,X40:X41,X43:X45,X47:X51,X55:X57,X59:X62,X64:X65,#REF!,X69:X71,X73))</formula>
    </cfRule>
  </conditionalFormatting>
  <dataValidations count="2">
    <dataValidation type="list" allowBlank="1" showInputMessage="1" sqref="H55:H57" xr:uid="{00000000-0002-0000-0500-000000000000}">
      <formula1>$AB$30:$AB$31</formula1>
    </dataValidation>
    <dataValidation type="list" allowBlank="1" showInputMessage="1" sqref="H5:I6" xr:uid="{00000000-0002-0000-0500-000001000000}">
      <formula1>$AB$9:$AB$28</formula1>
    </dataValidation>
  </dataValidations>
  <pageMargins left="0.78740157499999996" right="0.78740157499999996" top="0.984251969" bottom="0.984251969" header="0.4921259845" footer="0.4921259845"/>
  <pageSetup paperSize="9" orientation="portrait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88" r:id="rId4" name="Check Box 140">
              <controlPr defaultSize="0" autoFill="0" autoLine="0" autoPict="0">
                <anchor moveWithCells="1">
                  <from>
                    <xdr:col>6</xdr:col>
                    <xdr:colOff>19050</xdr:colOff>
                    <xdr:row>13</xdr:row>
                    <xdr:rowOff>133350</xdr:rowOff>
                  </from>
                  <to>
                    <xdr:col>6</xdr:col>
                    <xdr:colOff>323850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5" name="Check Box 141">
              <controlPr defaultSize="0" autoFill="0" autoLine="0" autoPict="0">
                <anchor moveWithCells="1">
                  <from>
                    <xdr:col>6</xdr:col>
                    <xdr:colOff>19050</xdr:colOff>
                    <xdr:row>14</xdr:row>
                    <xdr:rowOff>133350</xdr:rowOff>
                  </from>
                  <to>
                    <xdr:col>6</xdr:col>
                    <xdr:colOff>323850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6" name="Check Box 142">
              <controlPr defaultSize="0" autoFill="0" autoLine="0" autoPict="0">
                <anchor moveWithCells="1">
                  <from>
                    <xdr:col>6</xdr:col>
                    <xdr:colOff>19050</xdr:colOff>
                    <xdr:row>15</xdr:row>
                    <xdr:rowOff>133350</xdr:rowOff>
                  </from>
                  <to>
                    <xdr:col>6</xdr:col>
                    <xdr:colOff>323850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7" name="Check Box 122">
              <controlPr defaultSize="0" autoFill="0" autoLine="0" autoPict="0">
                <anchor moveWithCells="1">
                  <from>
                    <xdr:col>11</xdr:col>
                    <xdr:colOff>19050</xdr:colOff>
                    <xdr:row>53</xdr:row>
                    <xdr:rowOff>133350</xdr:rowOff>
                  </from>
                  <to>
                    <xdr:col>11</xdr:col>
                    <xdr:colOff>323850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8" name="Check Box 170">
              <controlPr defaultSize="0" autoFill="0" autoLine="0" autoPict="0">
                <anchor moveWithCells="1">
                  <from>
                    <xdr:col>12</xdr:col>
                    <xdr:colOff>19050</xdr:colOff>
                    <xdr:row>53</xdr:row>
                    <xdr:rowOff>133350</xdr:rowOff>
                  </from>
                  <to>
                    <xdr:col>12</xdr:col>
                    <xdr:colOff>323850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9" name="Check Box 123">
              <controlPr defaultSize="0" autoFill="0" autoLine="0" autoPict="0">
                <anchor moveWithCells="1">
                  <from>
                    <xdr:col>11</xdr:col>
                    <xdr:colOff>19050</xdr:colOff>
                    <xdr:row>54</xdr:row>
                    <xdr:rowOff>133350</xdr:rowOff>
                  </from>
                  <to>
                    <xdr:col>11</xdr:col>
                    <xdr:colOff>323850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0" name="Check Box 171">
              <controlPr defaultSize="0" autoFill="0" autoLine="0" autoPict="0">
                <anchor moveWithCells="1">
                  <from>
                    <xdr:col>12</xdr:col>
                    <xdr:colOff>19050</xdr:colOff>
                    <xdr:row>54</xdr:row>
                    <xdr:rowOff>133350</xdr:rowOff>
                  </from>
                  <to>
                    <xdr:col>12</xdr:col>
                    <xdr:colOff>323850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1" name="Check Box 124">
              <controlPr defaultSize="0" autoFill="0" autoLine="0" autoPict="0">
                <anchor moveWithCells="1">
                  <from>
                    <xdr:col>11</xdr:col>
                    <xdr:colOff>19050</xdr:colOff>
                    <xdr:row>55</xdr:row>
                    <xdr:rowOff>133350</xdr:rowOff>
                  </from>
                  <to>
                    <xdr:col>11</xdr:col>
                    <xdr:colOff>323850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2" name="Check Box 172">
              <controlPr defaultSize="0" autoFill="0" autoLine="0" autoPict="0">
                <anchor moveWithCells="1">
                  <from>
                    <xdr:col>12</xdr:col>
                    <xdr:colOff>19050</xdr:colOff>
                    <xdr:row>55</xdr:row>
                    <xdr:rowOff>133350</xdr:rowOff>
                  </from>
                  <to>
                    <xdr:col>12</xdr:col>
                    <xdr:colOff>323850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3" name="Check Box 125">
              <controlPr defaultSize="0" autoFill="0" autoLine="0" autoPict="0">
                <anchor moveWithCells="1">
                  <from>
                    <xdr:col>11</xdr:col>
                    <xdr:colOff>19050</xdr:colOff>
                    <xdr:row>57</xdr:row>
                    <xdr:rowOff>133350</xdr:rowOff>
                  </from>
                  <to>
                    <xdr:col>11</xdr:col>
                    <xdr:colOff>323850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4" name="Check Box 173">
              <controlPr defaultSize="0" autoFill="0" autoLine="0" autoPict="0">
                <anchor moveWithCells="1">
                  <from>
                    <xdr:col>12</xdr:col>
                    <xdr:colOff>19050</xdr:colOff>
                    <xdr:row>57</xdr:row>
                    <xdr:rowOff>133350</xdr:rowOff>
                  </from>
                  <to>
                    <xdr:col>12</xdr:col>
                    <xdr:colOff>323850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5" name="Check Box 126">
              <controlPr defaultSize="0" autoFill="0" autoLine="0" autoPict="0">
                <anchor moveWithCells="1">
                  <from>
                    <xdr:col>11</xdr:col>
                    <xdr:colOff>19050</xdr:colOff>
                    <xdr:row>58</xdr:row>
                    <xdr:rowOff>133350</xdr:rowOff>
                  </from>
                  <to>
                    <xdr:col>11</xdr:col>
                    <xdr:colOff>323850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6" name="Check Box 174">
              <controlPr defaultSize="0" autoFill="0" autoLine="0" autoPict="0">
                <anchor moveWithCells="1">
                  <from>
                    <xdr:col>12</xdr:col>
                    <xdr:colOff>19050</xdr:colOff>
                    <xdr:row>58</xdr:row>
                    <xdr:rowOff>133350</xdr:rowOff>
                  </from>
                  <to>
                    <xdr:col>12</xdr:col>
                    <xdr:colOff>323850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7" name="Check Box 127">
              <controlPr defaultSize="0" autoFill="0" autoLine="0" autoPict="0">
                <anchor moveWithCells="1">
                  <from>
                    <xdr:col>11</xdr:col>
                    <xdr:colOff>19050</xdr:colOff>
                    <xdr:row>59</xdr:row>
                    <xdr:rowOff>133350</xdr:rowOff>
                  </from>
                  <to>
                    <xdr:col>11</xdr:col>
                    <xdr:colOff>323850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8" name="Check Box 175">
              <controlPr defaultSize="0" autoFill="0" autoLine="0" autoPict="0">
                <anchor moveWithCells="1">
                  <from>
                    <xdr:col>12</xdr:col>
                    <xdr:colOff>19050</xdr:colOff>
                    <xdr:row>59</xdr:row>
                    <xdr:rowOff>133350</xdr:rowOff>
                  </from>
                  <to>
                    <xdr:col>12</xdr:col>
                    <xdr:colOff>323850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9" name="Check Box 131">
              <controlPr defaultSize="0" autoFill="0" autoLine="0" autoPict="0">
                <anchor moveWithCells="1">
                  <from>
                    <xdr:col>11</xdr:col>
                    <xdr:colOff>19050</xdr:colOff>
                    <xdr:row>60</xdr:row>
                    <xdr:rowOff>133350</xdr:rowOff>
                  </from>
                  <to>
                    <xdr:col>11</xdr:col>
                    <xdr:colOff>323850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20" name="Check Box 176">
              <controlPr defaultSize="0" autoFill="0" autoLine="0" autoPict="0">
                <anchor moveWithCells="1">
                  <from>
                    <xdr:col>12</xdr:col>
                    <xdr:colOff>19050</xdr:colOff>
                    <xdr:row>60</xdr:row>
                    <xdr:rowOff>133350</xdr:rowOff>
                  </from>
                  <to>
                    <xdr:col>12</xdr:col>
                    <xdr:colOff>323850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21" name="Check Box 128">
              <controlPr defaultSize="0" autoFill="0" autoLine="0" autoPict="0">
                <anchor moveWithCells="1">
                  <from>
                    <xdr:col>11</xdr:col>
                    <xdr:colOff>19050</xdr:colOff>
                    <xdr:row>62</xdr:row>
                    <xdr:rowOff>133350</xdr:rowOff>
                  </from>
                  <to>
                    <xdr:col>11</xdr:col>
                    <xdr:colOff>323850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22" name="Check Box 177">
              <controlPr defaultSize="0" autoFill="0" autoLine="0" autoPict="0">
                <anchor moveWithCells="1">
                  <from>
                    <xdr:col>12</xdr:col>
                    <xdr:colOff>19050</xdr:colOff>
                    <xdr:row>62</xdr:row>
                    <xdr:rowOff>133350</xdr:rowOff>
                  </from>
                  <to>
                    <xdr:col>12</xdr:col>
                    <xdr:colOff>323850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23" name="Check Box 129">
              <controlPr defaultSize="0" autoFill="0" autoLine="0" autoPict="0">
                <anchor moveWithCells="1">
                  <from>
                    <xdr:col>11</xdr:col>
                    <xdr:colOff>19050</xdr:colOff>
                    <xdr:row>63</xdr:row>
                    <xdr:rowOff>133350</xdr:rowOff>
                  </from>
                  <to>
                    <xdr:col>11</xdr:col>
                    <xdr:colOff>323850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24" name="Check Box 178">
              <controlPr defaultSize="0" autoFill="0" autoLine="0" autoPict="0">
                <anchor moveWithCells="1">
                  <from>
                    <xdr:col>12</xdr:col>
                    <xdr:colOff>19050</xdr:colOff>
                    <xdr:row>63</xdr:row>
                    <xdr:rowOff>133350</xdr:rowOff>
                  </from>
                  <to>
                    <xdr:col>12</xdr:col>
                    <xdr:colOff>323850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5" name="Check Box 33">
              <controlPr defaultSize="0" autoFill="0" autoLine="0" autoPict="0">
                <anchor moveWithCells="1">
                  <from>
                    <xdr:col>6</xdr:col>
                    <xdr:colOff>19050</xdr:colOff>
                    <xdr:row>67</xdr:row>
                    <xdr:rowOff>133350</xdr:rowOff>
                  </from>
                  <to>
                    <xdr:col>6</xdr:col>
                    <xdr:colOff>323850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6" name="Check Box 34">
              <controlPr defaultSize="0" autoFill="0" autoLine="0" autoPict="0">
                <anchor moveWithCells="1">
                  <from>
                    <xdr:col>6</xdr:col>
                    <xdr:colOff>19050</xdr:colOff>
                    <xdr:row>68</xdr:row>
                    <xdr:rowOff>133350</xdr:rowOff>
                  </from>
                  <to>
                    <xdr:col>6</xdr:col>
                    <xdr:colOff>323850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7" name="Check Box 35">
              <controlPr defaultSize="0" autoFill="0" autoLine="0" autoPict="0">
                <anchor moveWithCells="1">
                  <from>
                    <xdr:col>6</xdr:col>
                    <xdr:colOff>19050</xdr:colOff>
                    <xdr:row>69</xdr:row>
                    <xdr:rowOff>133350</xdr:rowOff>
                  </from>
                  <to>
                    <xdr:col>6</xdr:col>
                    <xdr:colOff>323850</xdr:colOff>
                    <xdr:row>71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J76"/>
  <sheetViews>
    <sheetView workbookViewId="0">
      <selection activeCell="B1" sqref="B1"/>
    </sheetView>
  </sheetViews>
  <sheetFormatPr baseColWidth="10" defaultColWidth="11.42578125" defaultRowHeight="12.75" x14ac:dyDescent="0.2"/>
  <cols>
    <col min="1" max="1" width="2.7109375" style="136" customWidth="1"/>
    <col min="2" max="2" width="53" style="138" customWidth="1"/>
    <col min="3" max="3" width="13.28515625" style="138" bestFit="1" customWidth="1"/>
    <col min="4" max="4" width="6.5703125" style="138" customWidth="1"/>
    <col min="5" max="5" width="12" style="138" customWidth="1"/>
    <col min="6" max="6" width="4" style="138" bestFit="1" customWidth="1"/>
    <col min="7" max="10" width="12" style="138" customWidth="1"/>
    <col min="11" max="16384" width="11.42578125" style="138"/>
  </cols>
  <sheetData>
    <row r="1" spans="1:10" x14ac:dyDescent="0.2">
      <c r="B1" s="137" t="str">
        <f>Übersicht!A1&amp;" – Prozesskostenrechner"</f>
        <v>Zivilprozessrechner v2.42 – Prozesskostenrechner</v>
      </c>
      <c r="D1" s="139"/>
      <c r="E1" s="140"/>
    </row>
    <row r="2" spans="1:10" ht="13.5" thickBot="1" x14ac:dyDescent="0.25">
      <c r="B2" s="141"/>
    </row>
    <row r="3" spans="1:10" ht="13.5" thickBot="1" x14ac:dyDescent="0.25">
      <c r="A3" s="142" t="s">
        <v>360</v>
      </c>
      <c r="B3" s="143" t="s">
        <v>412</v>
      </c>
      <c r="C3" s="144">
        <f>IF(Prozesskostenrechner!C4="","",Prozesskostenrechner!C4)</f>
        <v>10000</v>
      </c>
      <c r="H3" s="145" t="s">
        <v>385</v>
      </c>
      <c r="I3" s="832" t="str">
        <f>IF(Prozesskostenrechner!I4="","",Prozesskostenrechner!I4)</f>
        <v>... . .../..</v>
      </c>
      <c r="J3" s="833"/>
    </row>
    <row r="4" spans="1:10" ht="13.5" thickBot="1" x14ac:dyDescent="0.25">
      <c r="B4" s="147" t="s">
        <v>99</v>
      </c>
      <c r="C4" s="696">
        <f>IF(Prozesskostenrechner!C5="","",Prozesskostenrechner!C5)</f>
        <v>0.19</v>
      </c>
      <c r="H4" s="148" t="s">
        <v>386</v>
      </c>
      <c r="I4" s="149"/>
      <c r="J4" s="150">
        <f ca="1">TODAY()</f>
        <v>46203</v>
      </c>
    </row>
    <row r="5" spans="1:10" ht="13.5" thickBot="1" x14ac:dyDescent="0.25">
      <c r="B5" s="151" t="s">
        <v>484</v>
      </c>
      <c r="C5" s="602" t="str">
        <f>IF(Prozesskostenrechner!C6="","",Prozesskostenrechner!C6)</f>
        <v>ab 01.06.2025</v>
      </c>
      <c r="H5" s="50"/>
      <c r="I5" s="152"/>
      <c r="J5" s="153"/>
    </row>
    <row r="6" spans="1:10" ht="13.5" thickBot="1" x14ac:dyDescent="0.25">
      <c r="C6" s="154"/>
    </row>
    <row r="7" spans="1:10" ht="13.5" thickBot="1" x14ac:dyDescent="0.25">
      <c r="A7" s="142" t="s">
        <v>28</v>
      </c>
      <c r="B7" s="143" t="s">
        <v>111</v>
      </c>
      <c r="C7" s="155"/>
      <c r="D7" s="156"/>
      <c r="E7" s="156"/>
      <c r="F7" s="157"/>
    </row>
    <row r="8" spans="1:10" x14ac:dyDescent="0.2">
      <c r="B8" s="593" t="s">
        <v>416</v>
      </c>
      <c r="C8" s="158">
        <f ca="1">IF(Prozesskostenrechner!C10="","",Prozesskostenrechner!C10)</f>
        <v>10000</v>
      </c>
      <c r="D8" s="159"/>
      <c r="E8" s="160"/>
      <c r="F8" s="161"/>
    </row>
    <row r="9" spans="1:10" x14ac:dyDescent="0.2">
      <c r="B9" s="162" t="s">
        <v>673</v>
      </c>
      <c r="C9" s="163">
        <f ca="1">IF(Prozesskostenrechner!C11="","",Prozesskostenrechner!C11)</f>
        <v>10000</v>
      </c>
      <c r="D9" s="164"/>
      <c r="E9" s="164"/>
      <c r="F9" s="161"/>
    </row>
    <row r="10" spans="1:10" x14ac:dyDescent="0.2">
      <c r="B10" s="165" t="s">
        <v>113</v>
      </c>
      <c r="C10" s="166"/>
      <c r="D10" s="167"/>
      <c r="E10" s="168">
        <f ca="1">IF(Prozesskostenrechner!E12="","",Prozesskostenrechner!E12)</f>
        <v>283</v>
      </c>
      <c r="F10" s="161"/>
    </row>
    <row r="11" spans="1:10" x14ac:dyDescent="0.2">
      <c r="B11" s="169" t="s">
        <v>143</v>
      </c>
      <c r="C11" s="164"/>
      <c r="D11" s="170" t="s">
        <v>103</v>
      </c>
      <c r="E11" s="171" t="s">
        <v>140</v>
      </c>
      <c r="F11" s="172" t="s">
        <v>439</v>
      </c>
    </row>
    <row r="12" spans="1:10" x14ac:dyDescent="0.2">
      <c r="B12" s="173" t="str">
        <f>IF(Prozesskostenrechner!B14="","",Prozesskostenrechner!B14)</f>
        <v/>
      </c>
      <c r="C12" s="174"/>
      <c r="D12" s="697" t="str">
        <f>IF(Prozesskostenrechner!D14="","",Prozesskostenrechner!D14)</f>
        <v/>
      </c>
      <c r="E12" s="175" t="str">
        <f ca="1">IF(Prozesskostenrechner!E14="","",Prozesskostenrechner!E14)</f>
        <v/>
      </c>
      <c r="F12" s="176" t="str">
        <f>IF(Prozesskostenrechner!M14=TRUE,"x","")</f>
        <v/>
      </c>
    </row>
    <row r="13" spans="1:10" x14ac:dyDescent="0.2">
      <c r="B13" s="169" t="s">
        <v>126</v>
      </c>
      <c r="C13" s="164"/>
      <c r="D13" s="170" t="s">
        <v>103</v>
      </c>
      <c r="E13" s="171" t="s">
        <v>140</v>
      </c>
      <c r="F13" s="172" t="s">
        <v>439</v>
      </c>
    </row>
    <row r="14" spans="1:10" x14ac:dyDescent="0.2">
      <c r="B14" s="147" t="s">
        <v>114</v>
      </c>
      <c r="C14" s="177"/>
      <c r="D14" s="178">
        <f>Prozesskostenrechner!D16</f>
        <v>3</v>
      </c>
      <c r="E14" s="179">
        <f ca="1">IF(Prozesskostenrechner!E16="","",Prozesskostenrechner!E16)</f>
        <v>849</v>
      </c>
      <c r="F14" s="180" t="str">
        <f>IF(Prozesskostenrechner!M16=TRUE,"x","")</f>
        <v>x</v>
      </c>
    </row>
    <row r="15" spans="1:10" x14ac:dyDescent="0.2">
      <c r="B15" s="181" t="s">
        <v>117</v>
      </c>
      <c r="C15" s="182"/>
      <c r="D15" s="183">
        <f>Prozesskostenrechner!D17</f>
        <v>1</v>
      </c>
      <c r="E15" s="184">
        <f ca="1">IF(Prozesskostenrechner!E17="","",Prozesskostenrechner!E17)</f>
        <v>283</v>
      </c>
      <c r="F15" s="185" t="str">
        <f>IF(Prozesskostenrechner!M17=TRUE,"x","")</f>
        <v/>
      </c>
    </row>
    <row r="16" spans="1:10" x14ac:dyDescent="0.2">
      <c r="B16" s="181" t="s">
        <v>118</v>
      </c>
      <c r="C16" s="182"/>
      <c r="D16" s="183">
        <f>Prozesskostenrechner!D18</f>
        <v>4</v>
      </c>
      <c r="E16" s="184">
        <f ca="1">IF(Prozesskostenrechner!E18="","",Prozesskostenrechner!E18)</f>
        <v>1132</v>
      </c>
      <c r="F16" s="185" t="str">
        <f>IF(Prozesskostenrechner!M18=TRUE,"x","")</f>
        <v/>
      </c>
    </row>
    <row r="17" spans="1:10" x14ac:dyDescent="0.2">
      <c r="B17" s="181" t="s">
        <v>634</v>
      </c>
      <c r="C17" s="182"/>
      <c r="D17" s="183">
        <f>Prozesskostenrechner!D19</f>
        <v>2</v>
      </c>
      <c r="E17" s="184">
        <f ca="1">IF(Prozesskostenrechner!E19="","",Prozesskostenrechner!E19)</f>
        <v>566</v>
      </c>
      <c r="F17" s="185" t="str">
        <f>IF(Prozesskostenrechner!M19=TRUE,"x","")</f>
        <v/>
      </c>
    </row>
    <row r="18" spans="1:10" x14ac:dyDescent="0.2">
      <c r="B18" s="186" t="s">
        <v>119</v>
      </c>
      <c r="C18" s="187"/>
      <c r="D18" s="188">
        <f>Prozesskostenrechner!D20</f>
        <v>5</v>
      </c>
      <c r="E18" s="189">
        <f ca="1">IF(Prozesskostenrechner!E20="","",Prozesskostenrechner!E20)</f>
        <v>1415</v>
      </c>
      <c r="F18" s="185" t="str">
        <f>IF(Prozesskostenrechner!M20=TRUE,"x","")</f>
        <v/>
      </c>
    </row>
    <row r="19" spans="1:10" x14ac:dyDescent="0.2">
      <c r="B19" s="190" t="s">
        <v>552</v>
      </c>
      <c r="C19" s="174"/>
      <c r="D19" s="191">
        <f>Prozesskostenrechner!D21</f>
        <v>1</v>
      </c>
      <c r="E19" s="175">
        <f ca="1">IF(Prozesskostenrechner!E21="","",Prozesskostenrechner!E21)</f>
        <v>283</v>
      </c>
      <c r="F19" s="192" t="str">
        <f>IF(Prozesskostenrechner!M21=TRUE,"x","")</f>
        <v/>
      </c>
    </row>
    <row r="20" spans="1:10" ht="13.5" thickBot="1" x14ac:dyDescent="0.25">
      <c r="B20" s="193" t="s">
        <v>134</v>
      </c>
      <c r="C20" s="194"/>
      <c r="D20" s="195"/>
      <c r="E20" s="196">
        <f ca="1">IF(Prozesskostenrechner!E22="","",Prozesskostenrechner!E22)</f>
        <v>849</v>
      </c>
      <c r="F20" s="197"/>
    </row>
    <row r="21" spans="1:10" ht="13.5" thickBot="1" x14ac:dyDescent="0.25">
      <c r="C21" s="154"/>
    </row>
    <row r="22" spans="1:10" ht="13.5" thickBot="1" x14ac:dyDescent="0.25">
      <c r="A22" s="142" t="s">
        <v>29</v>
      </c>
      <c r="B22" s="143" t="s">
        <v>387</v>
      </c>
      <c r="C22" s="156"/>
      <c r="D22" s="156"/>
      <c r="E22" s="156"/>
      <c r="F22" s="156"/>
      <c r="G22" s="156"/>
      <c r="H22" s="156"/>
      <c r="I22" s="156"/>
      <c r="J22" s="157"/>
    </row>
    <row r="23" spans="1:10" x14ac:dyDescent="0.2">
      <c r="B23" s="147" t="s">
        <v>488</v>
      </c>
      <c r="C23" s="158">
        <f ca="1">IF(Prozesskostenrechner!C25="","",Prozesskostenrechner!C25)</f>
        <v>10000</v>
      </c>
      <c r="D23" s="159"/>
      <c r="E23" s="160"/>
      <c r="F23" s="50"/>
      <c r="G23" s="50"/>
      <c r="H23" s="50"/>
      <c r="I23" s="50"/>
      <c r="J23" s="161"/>
    </row>
    <row r="24" spans="1:10" x14ac:dyDescent="0.2">
      <c r="B24" s="162" t="s">
        <v>621</v>
      </c>
      <c r="C24" s="163">
        <f ca="1">IF(Prozesskostenrechner!C26="","",Prozesskostenrechner!C26)</f>
        <v>10000</v>
      </c>
      <c r="D24" s="164"/>
      <c r="E24" s="164"/>
      <c r="F24" s="50"/>
      <c r="G24" s="50"/>
      <c r="H24" s="50"/>
      <c r="I24" s="50"/>
      <c r="J24" s="161"/>
    </row>
    <row r="25" spans="1:10" x14ac:dyDescent="0.2">
      <c r="B25" s="165" t="s">
        <v>388</v>
      </c>
      <c r="C25" s="198"/>
      <c r="D25" s="167"/>
      <c r="E25" s="168">
        <f ca="1">IF(Prozesskostenrechner!E27="","",Prozesskostenrechner!E27)</f>
        <v>652</v>
      </c>
      <c r="F25" s="50"/>
      <c r="G25" s="50"/>
      <c r="H25" s="50"/>
      <c r="I25" s="50"/>
      <c r="J25" s="161"/>
    </row>
    <row r="26" spans="1:10" x14ac:dyDescent="0.2">
      <c r="B26" s="169" t="s">
        <v>143</v>
      </c>
      <c r="C26" s="164"/>
      <c r="D26" s="170" t="s">
        <v>103</v>
      </c>
      <c r="E26" s="171" t="s">
        <v>140</v>
      </c>
      <c r="F26" s="199" t="s">
        <v>439</v>
      </c>
      <c r="G26" s="200" t="s">
        <v>130</v>
      </c>
      <c r="H26" s="200" t="s">
        <v>131</v>
      </c>
      <c r="I26" s="200" t="s">
        <v>132</v>
      </c>
      <c r="J26" s="201" t="s">
        <v>133</v>
      </c>
    </row>
    <row r="27" spans="1:10" x14ac:dyDescent="0.2">
      <c r="B27" s="202" t="str">
        <f>IF(Prozesskostenrechner!B29="","",Prozesskostenrechner!B29)</f>
        <v/>
      </c>
      <c r="C27" s="177"/>
      <c r="D27" s="698" t="str">
        <f>IF(Prozesskostenrechner!D29="","",Prozesskostenrechner!D29)</f>
        <v/>
      </c>
      <c r="E27" s="179" t="str">
        <f ca="1">IF(Prozesskostenrechner!E29="","",Prozesskostenrechner!E29)</f>
        <v/>
      </c>
      <c r="F27" s="203" t="str">
        <f>IF(Prozesskostenrechner!M29=TRUE,"x","")</f>
        <v/>
      </c>
      <c r="G27" s="204" t="str">
        <f ca="1">IF(Prozesskostenrechner!G29="","",Prozesskostenrechner!G29)</f>
        <v/>
      </c>
      <c r="H27" s="204" t="str">
        <f ca="1">IF(Prozesskostenrechner!H29="","",Prozesskostenrechner!H29)</f>
        <v/>
      </c>
      <c r="I27" s="204" t="str">
        <f ca="1">IF(Prozesskostenrechner!I29="","",Prozesskostenrechner!I29)</f>
        <v/>
      </c>
      <c r="J27" s="205" t="str">
        <f ca="1">IF(Prozesskostenrechner!J29="","",Prozesskostenrechner!J29)</f>
        <v/>
      </c>
    </row>
    <row r="28" spans="1:10" x14ac:dyDescent="0.2">
      <c r="B28" s="206" t="str">
        <f>IF(Prozesskostenrechner!B30="","",Prozesskostenrechner!B30)</f>
        <v/>
      </c>
      <c r="C28" s="207"/>
      <c r="D28" s="699" t="str">
        <f>IF(Prozesskostenrechner!D30="","",Prozesskostenrechner!D30)</f>
        <v/>
      </c>
      <c r="E28" s="208" t="str">
        <f ca="1">IF(Prozesskostenrechner!E30="","",Prozesskostenrechner!E30)</f>
        <v/>
      </c>
      <c r="F28" s="209" t="str">
        <f>IF(Prozesskostenrechner!M30=TRUE,"x","")</f>
        <v/>
      </c>
      <c r="G28" s="210" t="str">
        <f ca="1">IF(Prozesskostenrechner!G30="","",Prozesskostenrechner!G30)</f>
        <v/>
      </c>
      <c r="H28" s="210" t="str">
        <f ca="1">IF(Prozesskostenrechner!H30="","",Prozesskostenrechner!H30)</f>
        <v/>
      </c>
      <c r="I28" s="210" t="str">
        <f ca="1">IF(Prozesskostenrechner!I30="","",Prozesskostenrechner!I30)</f>
        <v/>
      </c>
      <c r="J28" s="211" t="str">
        <f ca="1">IF(Prozesskostenrechner!J30="","",Prozesskostenrechner!J30)</f>
        <v/>
      </c>
    </row>
    <row r="29" spans="1:10" x14ac:dyDescent="0.2">
      <c r="B29" s="212" t="str">
        <f>IF(Prozesskostenrechner!B31="","",Prozesskostenrechner!B31)</f>
        <v/>
      </c>
      <c r="C29" s="164"/>
      <c r="D29" s="700" t="str">
        <f>IF(Prozesskostenrechner!D31="","",Prozesskostenrechner!D31)</f>
        <v/>
      </c>
      <c r="E29" s="213" t="str">
        <f ca="1">IF(Prozesskostenrechner!E31="","",Prozesskostenrechner!E31)</f>
        <v/>
      </c>
      <c r="F29" s="214" t="str">
        <f>IF(Prozesskostenrechner!M31=TRUE,"x","")</f>
        <v/>
      </c>
      <c r="G29" s="168" t="str">
        <f ca="1">IF(Prozesskostenrechner!G31="","",Prozesskostenrechner!G31)</f>
        <v/>
      </c>
      <c r="H29" s="168" t="str">
        <f ca="1">IF(Prozesskostenrechner!H31="","",Prozesskostenrechner!H31)</f>
        <v/>
      </c>
      <c r="I29" s="168" t="str">
        <f ca="1">IF(Prozesskostenrechner!I31="","",Prozesskostenrechner!I31)</f>
        <v/>
      </c>
      <c r="J29" s="215" t="str">
        <f ca="1">IF(Prozesskostenrechner!J31="","",Prozesskostenrechner!J31)</f>
        <v/>
      </c>
    </row>
    <row r="30" spans="1:10" x14ac:dyDescent="0.2">
      <c r="B30" s="169" t="s">
        <v>483</v>
      </c>
      <c r="C30" s="164"/>
      <c r="D30" s="216" t="s">
        <v>103</v>
      </c>
      <c r="E30" s="171" t="s">
        <v>140</v>
      </c>
      <c r="F30" s="171" t="s">
        <v>439</v>
      </c>
      <c r="G30" s="217" t="s">
        <v>130</v>
      </c>
      <c r="H30" s="217" t="s">
        <v>131</v>
      </c>
      <c r="I30" s="217" t="s">
        <v>132</v>
      </c>
      <c r="J30" s="218" t="s">
        <v>133</v>
      </c>
    </row>
    <row r="31" spans="1:10" x14ac:dyDescent="0.2">
      <c r="B31" s="219" t="s">
        <v>433</v>
      </c>
      <c r="C31" s="207"/>
      <c r="D31" s="220">
        <f>Prozesskostenrechner!D33</f>
        <v>1.3</v>
      </c>
      <c r="E31" s="184">
        <f ca="1">IF(Prozesskostenrechner!E33="","",Prozesskostenrechner!E33)</f>
        <v>847.6</v>
      </c>
      <c r="F31" s="209" t="str">
        <f>IF(Prozesskostenrechner!M33=TRUE,"x","")</f>
        <v/>
      </c>
      <c r="G31" s="210">
        <f ca="1">IF(Prozesskostenrechner!G33="","",Prozesskostenrechner!G33)</f>
        <v>20</v>
      </c>
      <c r="H31" s="210">
        <f ca="1">IF(Prozesskostenrechner!H33="","",Prozesskostenrechner!H33)</f>
        <v>164.84399999999999</v>
      </c>
      <c r="I31" s="210">
        <f ca="1">IF(Prozesskostenrechner!I33="","",Prozesskostenrechner!I33)</f>
        <v>867.6</v>
      </c>
      <c r="J31" s="211">
        <f ca="1">IF(Prozesskostenrechner!J33="","",Prozesskostenrechner!J33)</f>
        <v>1032.444</v>
      </c>
    </row>
    <row r="32" spans="1:10" x14ac:dyDescent="0.2">
      <c r="B32" s="181" t="s">
        <v>120</v>
      </c>
      <c r="C32" s="182"/>
      <c r="D32" s="183">
        <f>Prozesskostenrechner!D34</f>
        <v>1.5</v>
      </c>
      <c r="E32" s="184">
        <f ca="1">IF(Prozesskostenrechner!E34="","",Prozesskostenrechner!E34)</f>
        <v>978</v>
      </c>
      <c r="F32" s="221" t="str">
        <f>IF(Prozesskostenrechner!M34=TRUE,"x","")</f>
        <v/>
      </c>
      <c r="G32" s="222">
        <f ca="1">IF(Prozesskostenrechner!G34="","",Prozesskostenrechner!G34)</f>
        <v>20</v>
      </c>
      <c r="H32" s="222">
        <f ca="1">IF(Prozesskostenrechner!H34="","",Prozesskostenrechner!H34)</f>
        <v>189.62</v>
      </c>
      <c r="I32" s="222">
        <f ca="1">IF(Prozesskostenrechner!I34="","",Prozesskostenrechner!I34)</f>
        <v>998</v>
      </c>
      <c r="J32" s="223">
        <f ca="1">IF(Prozesskostenrechner!J34="","",Prozesskostenrechner!J34)</f>
        <v>1187.6199999999999</v>
      </c>
    </row>
    <row r="33" spans="2:10" x14ac:dyDescent="0.2">
      <c r="B33" s="181" t="s">
        <v>120</v>
      </c>
      <c r="C33" s="182"/>
      <c r="D33" s="183">
        <f>Prozesskostenrechner!D35</f>
        <v>2</v>
      </c>
      <c r="E33" s="184">
        <f ca="1">IF(Prozesskostenrechner!E35="","",Prozesskostenrechner!E35)</f>
        <v>1304</v>
      </c>
      <c r="F33" s="221" t="str">
        <f>IF(Prozesskostenrechner!M35=TRUE,"x","")</f>
        <v/>
      </c>
      <c r="G33" s="222">
        <f ca="1">IF(Prozesskostenrechner!G35="","",Prozesskostenrechner!G35)</f>
        <v>20</v>
      </c>
      <c r="H33" s="222">
        <f ca="1">IF(Prozesskostenrechner!H35="","",Prozesskostenrechner!H35)</f>
        <v>251.56</v>
      </c>
      <c r="I33" s="222">
        <f ca="1">IF(Prozesskostenrechner!I35="","",Prozesskostenrechner!I35)</f>
        <v>1324</v>
      </c>
      <c r="J33" s="223">
        <f ca="1">IF(Prozesskostenrechner!J35="","",Prozesskostenrechner!J35)</f>
        <v>1575.56</v>
      </c>
    </row>
    <row r="34" spans="2:10" x14ac:dyDescent="0.2">
      <c r="B34" s="181" t="s">
        <v>142</v>
      </c>
      <c r="C34" s="182"/>
      <c r="D34" s="183">
        <f>Prozesskostenrechner!D36</f>
        <v>1.3</v>
      </c>
      <c r="E34" s="184">
        <f ca="1">IF(Prozesskostenrechner!E36="","",Prozesskostenrechner!E36)</f>
        <v>847.6</v>
      </c>
      <c r="F34" s="221" t="str">
        <f>IF(Prozesskostenrechner!M36=TRUE,"x","")</f>
        <v/>
      </c>
      <c r="G34" s="222">
        <f ca="1">IF(Prozesskostenrechner!G36="","",Prozesskostenrechner!G36)</f>
        <v>20</v>
      </c>
      <c r="H34" s="222">
        <f ca="1">IF(Prozesskostenrechner!H36="","",Prozesskostenrechner!H36)</f>
        <v>164.84399999999999</v>
      </c>
      <c r="I34" s="222">
        <f ca="1">IF(Prozesskostenrechner!I36="","",Prozesskostenrechner!I36)</f>
        <v>867.6</v>
      </c>
      <c r="J34" s="223">
        <f ca="1">IF(Prozesskostenrechner!J36="","",Prozesskostenrechner!J36)</f>
        <v>1032.444</v>
      </c>
    </row>
    <row r="35" spans="2:10" x14ac:dyDescent="0.2">
      <c r="B35" s="181" t="s">
        <v>146</v>
      </c>
      <c r="C35" s="182"/>
      <c r="D35" s="183">
        <f>Prozesskostenrechner!D37</f>
        <v>2.5</v>
      </c>
      <c r="E35" s="184">
        <f ca="1">IF(Prozesskostenrechner!E37="","",Prozesskostenrechner!E37)</f>
        <v>1630</v>
      </c>
      <c r="F35" s="221" t="str">
        <f>IF(Prozesskostenrechner!M37=TRUE,"x","")</f>
        <v>x</v>
      </c>
      <c r="G35" s="222">
        <f ca="1">IF(Prozesskostenrechner!G37="","",Prozesskostenrechner!G37)</f>
        <v>20</v>
      </c>
      <c r="H35" s="222">
        <f ca="1">IF(Prozesskostenrechner!H37="","",Prozesskostenrechner!H37)</f>
        <v>313.5</v>
      </c>
      <c r="I35" s="222">
        <f ca="1">IF(Prozesskostenrechner!I37="","",Prozesskostenrechner!I37)</f>
        <v>1650</v>
      </c>
      <c r="J35" s="223">
        <f ca="1">IF(Prozesskostenrechner!J37="","",Prozesskostenrechner!J37)</f>
        <v>1963.5</v>
      </c>
    </row>
    <row r="36" spans="2:10" x14ac:dyDescent="0.2">
      <c r="B36" s="181" t="s">
        <v>121</v>
      </c>
      <c r="C36" s="182"/>
      <c r="D36" s="183">
        <f>Prozesskostenrechner!D38</f>
        <v>2.8</v>
      </c>
      <c r="E36" s="184">
        <f ca="1">IF(Prozesskostenrechner!E38="","",Prozesskostenrechner!E38)</f>
        <v>1825.6</v>
      </c>
      <c r="F36" s="221" t="str">
        <f>IF(Prozesskostenrechner!M38=TRUE,"x","")</f>
        <v/>
      </c>
      <c r="G36" s="222">
        <f ca="1">IF(Prozesskostenrechner!G38="","",Prozesskostenrechner!G38)</f>
        <v>20</v>
      </c>
      <c r="H36" s="222">
        <f ca="1">IF(Prozesskostenrechner!H38="","",Prozesskostenrechner!H38)</f>
        <v>350.66399999999999</v>
      </c>
      <c r="I36" s="222">
        <f ca="1">IF(Prozesskostenrechner!I38="","",Prozesskostenrechner!I38)</f>
        <v>1845.6</v>
      </c>
      <c r="J36" s="223">
        <f ca="1">IF(Prozesskostenrechner!J38="","",Prozesskostenrechner!J38)</f>
        <v>2196.2640000000001</v>
      </c>
    </row>
    <row r="37" spans="2:10" x14ac:dyDescent="0.2">
      <c r="B37" s="181" t="s">
        <v>123</v>
      </c>
      <c r="C37" s="182"/>
      <c r="D37" s="183">
        <f>Prozesskostenrechner!D39</f>
        <v>3.1</v>
      </c>
      <c r="E37" s="184">
        <f ca="1">IF(Prozesskostenrechner!E39="","",Prozesskostenrechner!E39)</f>
        <v>2021.2</v>
      </c>
      <c r="F37" s="221" t="str">
        <f>IF(Prozesskostenrechner!M39=TRUE,"x","")</f>
        <v/>
      </c>
      <c r="G37" s="222">
        <f ca="1">IF(Prozesskostenrechner!G39="","",Prozesskostenrechner!G39)</f>
        <v>20</v>
      </c>
      <c r="H37" s="222">
        <f ca="1">IF(Prozesskostenrechner!H39="","",Prozesskostenrechner!H39)</f>
        <v>387.82800000000003</v>
      </c>
      <c r="I37" s="222">
        <f ca="1">IF(Prozesskostenrechner!I39="","",Prozesskostenrechner!I39)</f>
        <v>2041.2</v>
      </c>
      <c r="J37" s="223">
        <f ca="1">IF(Prozesskostenrechner!J39="","",Prozesskostenrechner!J39)</f>
        <v>2429.0280000000002</v>
      </c>
    </row>
    <row r="38" spans="2:10" x14ac:dyDescent="0.2">
      <c r="B38" s="181" t="s">
        <v>122</v>
      </c>
      <c r="C38" s="182"/>
      <c r="D38" s="183">
        <f>Prozesskostenrechner!D40</f>
        <v>3.8</v>
      </c>
      <c r="E38" s="184">
        <f ca="1">IF(Prozesskostenrechner!E40="","",Prozesskostenrechner!E40)</f>
        <v>2477.6</v>
      </c>
      <c r="F38" s="221" t="str">
        <f>IF(Prozesskostenrechner!M40=TRUE,"x","")</f>
        <v/>
      </c>
      <c r="G38" s="222">
        <f ca="1">IF(Prozesskostenrechner!G40="","",Prozesskostenrechner!G40)</f>
        <v>20</v>
      </c>
      <c r="H38" s="222">
        <f ca="1">IF(Prozesskostenrechner!H40="","",Prozesskostenrechner!H40)</f>
        <v>474.54399999999998</v>
      </c>
      <c r="I38" s="222">
        <f ca="1">IF(Prozesskostenrechner!I40="","",Prozesskostenrechner!I40)</f>
        <v>2497.6</v>
      </c>
      <c r="J38" s="223">
        <f ca="1">IF(Prozesskostenrechner!J40="","",Prozesskostenrechner!J40)</f>
        <v>2972.1439999999998</v>
      </c>
    </row>
    <row r="39" spans="2:10" x14ac:dyDescent="0.2">
      <c r="B39" s="186" t="s">
        <v>629</v>
      </c>
      <c r="C39" s="187"/>
      <c r="D39" s="188">
        <f>Prozesskostenrechner!D41</f>
        <v>1.5</v>
      </c>
      <c r="E39" s="189">
        <f ca="1">IF(Prozesskostenrechner!E41="","",Prozesskostenrechner!E41)</f>
        <v>978</v>
      </c>
      <c r="F39" s="224" t="str">
        <f>IF(Prozesskostenrechner!M41=TRUE,"x","")</f>
        <v/>
      </c>
      <c r="G39" s="225">
        <f ca="1">IF(Prozesskostenrechner!G41="","",Prozesskostenrechner!G41)</f>
        <v>20</v>
      </c>
      <c r="H39" s="225">
        <f ca="1">IF(Prozesskostenrechner!H41="","",Prozesskostenrechner!H41)</f>
        <v>189.62</v>
      </c>
      <c r="I39" s="225">
        <f ca="1">IF(Prozesskostenrechner!I41="","",Prozesskostenrechner!I41)</f>
        <v>998</v>
      </c>
      <c r="J39" s="226">
        <f ca="1">IF(Prozesskostenrechner!J41="","",Prozesskostenrechner!J41)</f>
        <v>1187.6199999999999</v>
      </c>
    </row>
    <row r="40" spans="2:10" x14ac:dyDescent="0.2">
      <c r="B40" s="186" t="s">
        <v>630</v>
      </c>
      <c r="C40" s="187"/>
      <c r="D40" s="188">
        <f>Prozesskostenrechner!D42</f>
        <v>1</v>
      </c>
      <c r="E40" s="189">
        <f ca="1">IF(Prozesskostenrechner!E42="","",Prozesskostenrechner!E42)</f>
        <v>652</v>
      </c>
      <c r="F40" s="224" t="str">
        <f>IF(Prozesskostenrechner!M42=TRUE,"x","")</f>
        <v/>
      </c>
      <c r="G40" s="225">
        <f ca="1">IF(Prozesskostenrechner!G42="","",Prozesskostenrechner!G42)</f>
        <v>20</v>
      </c>
      <c r="H40" s="225">
        <f ca="1">IF(Prozesskostenrechner!H42="","",Prozesskostenrechner!H42)</f>
        <v>127.68</v>
      </c>
      <c r="I40" s="225">
        <f ca="1">IF(Prozesskostenrechner!I42="","",Prozesskostenrechner!I42)</f>
        <v>672</v>
      </c>
      <c r="J40" s="226">
        <f ca="1">IF(Prozesskostenrechner!J42="","",Prozesskostenrechner!J42)</f>
        <v>799.68000000000006</v>
      </c>
    </row>
    <row r="41" spans="2:10" x14ac:dyDescent="0.2">
      <c r="B41" s="186" t="s">
        <v>631</v>
      </c>
      <c r="C41" s="187"/>
      <c r="D41" s="188">
        <f>Prozesskostenrechner!D43</f>
        <v>1.3</v>
      </c>
      <c r="E41" s="189">
        <f ca="1">IF(Prozesskostenrechner!E43="","",Prozesskostenrechner!E43)</f>
        <v>847.6</v>
      </c>
      <c r="F41" s="224" t="str">
        <f>IF(Prozesskostenrechner!M43=TRUE,"x","")</f>
        <v/>
      </c>
      <c r="G41" s="225">
        <f ca="1">IF(Prozesskostenrechner!G43="","",Prozesskostenrechner!G43)</f>
        <v>20</v>
      </c>
      <c r="H41" s="225">
        <f ca="1">IF(Prozesskostenrechner!H43="","",Prozesskostenrechner!H43)</f>
        <v>164.84399999999999</v>
      </c>
      <c r="I41" s="225">
        <f ca="1">IF(Prozesskostenrechner!I43="","",Prozesskostenrechner!I43)</f>
        <v>867.6</v>
      </c>
      <c r="J41" s="226">
        <f ca="1">IF(Prozesskostenrechner!J43="","",Prozesskostenrechner!J43)</f>
        <v>1032.444</v>
      </c>
    </row>
    <row r="42" spans="2:10" x14ac:dyDescent="0.2">
      <c r="B42" s="190" t="s">
        <v>489</v>
      </c>
      <c r="C42" s="174"/>
      <c r="D42" s="227">
        <f>Prozesskostenrechner!D44</f>
        <v>0.3</v>
      </c>
      <c r="E42" s="175">
        <f ca="1">IF(Prozesskostenrechner!E44="","",Prozesskostenrechner!E44)</f>
        <v>195.6</v>
      </c>
      <c r="F42" s="612">
        <f>IF(Prozesskostenrechner!F44="","",Prozesskostenrechner!F44)</f>
        <v>0</v>
      </c>
      <c r="G42" s="159"/>
      <c r="H42" s="160"/>
      <c r="I42" s="160"/>
      <c r="J42" s="228"/>
    </row>
    <row r="43" spans="2:10" x14ac:dyDescent="0.2">
      <c r="B43" s="229" t="s">
        <v>125</v>
      </c>
      <c r="C43" s="207"/>
      <c r="D43" s="230"/>
      <c r="E43" s="208">
        <f ca="1">IF(Prozesskostenrechner!E45="","",Prozesskostenrechner!E45)</f>
        <v>1630</v>
      </c>
      <c r="F43" s="231"/>
      <c r="G43" s="50"/>
      <c r="H43" s="50"/>
      <c r="I43" s="50"/>
      <c r="J43" s="161"/>
    </row>
    <row r="44" spans="2:10" x14ac:dyDescent="0.2">
      <c r="B44" s="181" t="s">
        <v>490</v>
      </c>
      <c r="C44" s="182"/>
      <c r="D44" s="182"/>
      <c r="E44" s="222">
        <f ca="1">IF(Prozesskostenrechner!E46="","",Prozesskostenrechner!E46)</f>
        <v>20</v>
      </c>
      <c r="F44" s="231"/>
      <c r="G44" s="50"/>
      <c r="H44" s="50"/>
      <c r="I44" s="50"/>
      <c r="J44" s="161"/>
    </row>
    <row r="45" spans="2:10" x14ac:dyDescent="0.2">
      <c r="B45" s="190" t="s">
        <v>124</v>
      </c>
      <c r="C45" s="174"/>
      <c r="D45" s="174"/>
      <c r="E45" s="232">
        <f ca="1">IF(Prozesskostenrechner!E47="","",Prozesskostenrechner!E47)</f>
        <v>313.5</v>
      </c>
      <c r="F45" s="231"/>
      <c r="G45" s="50"/>
      <c r="H45" s="50"/>
      <c r="I45" s="50"/>
      <c r="J45" s="161"/>
    </row>
    <row r="46" spans="2:10" x14ac:dyDescent="0.2">
      <c r="B46" s="233" t="s">
        <v>135</v>
      </c>
      <c r="C46" s="177"/>
      <c r="D46" s="177"/>
      <c r="E46" s="179">
        <f ca="1">IF(Prozesskostenrechner!E48="","",Prozesskostenrechner!E48)</f>
        <v>1650</v>
      </c>
      <c r="F46" s="231"/>
      <c r="G46" s="50"/>
      <c r="H46" s="50"/>
      <c r="I46" s="50"/>
      <c r="J46" s="161"/>
    </row>
    <row r="47" spans="2:10" ht="13.5" thickBot="1" x14ac:dyDescent="0.25">
      <c r="B47" s="234" t="s">
        <v>136</v>
      </c>
      <c r="C47" s="235"/>
      <c r="D47" s="235"/>
      <c r="E47" s="236">
        <f ca="1">IF(Prozesskostenrechner!E49="","",Prozesskostenrechner!E49)</f>
        <v>1963.5</v>
      </c>
      <c r="F47" s="237"/>
      <c r="G47" s="194"/>
      <c r="H47" s="194"/>
      <c r="I47" s="194"/>
      <c r="J47" s="238"/>
    </row>
    <row r="48" spans="2:10" ht="13.5" thickBot="1" x14ac:dyDescent="0.25"/>
    <row r="49" spans="1:9" ht="13.5" thickBot="1" x14ac:dyDescent="0.25">
      <c r="A49" s="142" t="s">
        <v>30</v>
      </c>
      <c r="B49" s="143" t="s">
        <v>491</v>
      </c>
      <c r="C49" s="156"/>
      <c r="D49" s="156"/>
      <c r="E49" s="156"/>
      <c r="F49" s="156"/>
      <c r="G49" s="239" t="s">
        <v>132</v>
      </c>
      <c r="H49" s="239" t="s">
        <v>482</v>
      </c>
      <c r="I49" s="240" t="s">
        <v>133</v>
      </c>
    </row>
    <row r="50" spans="1:9" x14ac:dyDescent="0.2">
      <c r="B50" s="147" t="s">
        <v>137</v>
      </c>
      <c r="C50" s="177"/>
      <c r="D50" s="177"/>
      <c r="E50" s="177"/>
      <c r="F50" s="177"/>
      <c r="G50" s="179">
        <f ca="1">IF(Prozesskostenrechner!G52="","",Prozesskostenrechner!G52)</f>
        <v>4149</v>
      </c>
      <c r="H50" s="179">
        <f ca="1">IF(Prozesskostenrechner!H52="","",Prozesskostenrechner!H52)</f>
        <v>4462.5</v>
      </c>
      <c r="I50" s="241">
        <f ca="1">IF(Prozesskostenrechner!I52="","",Prozesskostenrechner!I52)</f>
        <v>4776</v>
      </c>
    </row>
    <row r="51" spans="1:9" x14ac:dyDescent="0.2">
      <c r="B51" s="181" t="s">
        <v>138</v>
      </c>
      <c r="C51" s="182"/>
      <c r="D51" s="182"/>
      <c r="E51" s="182"/>
      <c r="F51" s="182"/>
      <c r="G51" s="184">
        <f ca="1">IF(Prozesskostenrechner!G53="","",Prozesskostenrechner!G53)</f>
        <v>4887</v>
      </c>
      <c r="H51" s="184">
        <f ca="1">IF(Prozesskostenrechner!H53="","",Prozesskostenrechner!H53)</f>
        <v>5324.38</v>
      </c>
      <c r="I51" s="242">
        <f ca="1">IF(Prozesskostenrechner!I53="","",Prozesskostenrechner!I53)</f>
        <v>5761.7599999999993</v>
      </c>
    </row>
    <row r="52" spans="1:9" x14ac:dyDescent="0.2">
      <c r="B52" s="186" t="s">
        <v>139</v>
      </c>
      <c r="C52" s="187"/>
      <c r="D52" s="187"/>
      <c r="E52" s="187"/>
      <c r="F52" s="187"/>
      <c r="G52" s="189">
        <f ca="1">IF(Prozesskostenrechner!G54="","",Prozesskostenrechner!G54)</f>
        <v>8972.2000000000007</v>
      </c>
      <c r="H52" s="189">
        <f ca="1">IF(Prozesskostenrechner!H54="","",Prozesskostenrechner!H54)</f>
        <v>9636.3639999999996</v>
      </c>
      <c r="I52" s="243">
        <f ca="1">IF(Prozesskostenrechner!I54="","",Prozesskostenrechner!I54)</f>
        <v>10300.527999999998</v>
      </c>
    </row>
    <row r="53" spans="1:9" ht="13.5" thickBot="1" x14ac:dyDescent="0.25">
      <c r="B53" s="151" t="s">
        <v>151</v>
      </c>
      <c r="C53" s="235"/>
      <c r="D53" s="235"/>
      <c r="E53" s="235"/>
      <c r="F53" s="235"/>
      <c r="G53" s="236">
        <f ca="1">IF(Prozesskostenrechner!G55="","",Prozesskostenrechner!G55)</f>
        <v>10101.4</v>
      </c>
      <c r="H53" s="236">
        <f ca="1">IF(Prozesskostenrechner!H55="","",Prozesskostenrechner!H55)</f>
        <v>10926.608</v>
      </c>
      <c r="I53" s="244">
        <f ca="1">IF(Prozesskostenrechner!I55="","",Prozesskostenrechner!I55)</f>
        <v>11751.815999999999</v>
      </c>
    </row>
    <row r="55" spans="1:9" x14ac:dyDescent="0.2">
      <c r="B55" s="282" t="str">
        <f>Übersicht!A30</f>
        <v>Haftungsausschluss</v>
      </c>
    </row>
    <row r="56" spans="1:9" x14ac:dyDescent="0.2">
      <c r="B56" s="58" t="str">
        <f>Übersicht!A31</f>
        <v>Für die Richtigkeit der rechtlichen Bewertungen und der Berechnungsergebnisse besteht trotz sorgfältiger Bearbeitung und Prüfung keine Gewähr.</v>
      </c>
    </row>
    <row r="57" spans="1:9" x14ac:dyDescent="0.2">
      <c r="A57" s="138"/>
      <c r="B57" s="245"/>
    </row>
    <row r="58" spans="1:9" x14ac:dyDescent="0.2">
      <c r="A58" s="138"/>
      <c r="B58" s="119" t="str">
        <f>Übersicht!A44</f>
        <v>Rechtsgrundlagen</v>
      </c>
    </row>
    <row r="59" spans="1:9" x14ac:dyDescent="0.2">
      <c r="A59" s="138"/>
      <c r="B59" s="47" t="str">
        <f>Übersicht!A47</f>
        <v>GKG: Gerichtskostengesetz, zuletzt geändert durch Gesetz vom 20.05.2026 (BGBl. I Nr. 152)</v>
      </c>
    </row>
    <row r="60" spans="1:9" x14ac:dyDescent="0.2">
      <c r="A60" s="138"/>
      <c r="B60" s="47" t="str">
        <f>Übersicht!A50</f>
        <v>RVG: Rechtsanwaltsvergütungsgesetz, zuletzt geändert durch Gesetz vom 08.12.2025 (BGBl. I Nr. 318)</v>
      </c>
    </row>
    <row r="61" spans="1:9" x14ac:dyDescent="0.2">
      <c r="A61" s="138"/>
    </row>
    <row r="62" spans="1:9" x14ac:dyDescent="0.2">
      <c r="A62" s="138"/>
      <c r="B62" s="138" t="str">
        <f>Übersicht!A70</f>
        <v>www.zivilprozessrechner.de</v>
      </c>
    </row>
    <row r="63" spans="1:9" x14ac:dyDescent="0.2">
      <c r="A63" s="138"/>
    </row>
    <row r="64" spans="1:9" x14ac:dyDescent="0.2">
      <c r="A64" s="138"/>
    </row>
    <row r="65" spans="1:1" x14ac:dyDescent="0.2">
      <c r="A65" s="138"/>
    </row>
    <row r="66" spans="1:1" x14ac:dyDescent="0.2">
      <c r="A66" s="138"/>
    </row>
    <row r="67" spans="1:1" x14ac:dyDescent="0.2">
      <c r="A67" s="138"/>
    </row>
    <row r="68" spans="1:1" x14ac:dyDescent="0.2">
      <c r="A68" s="138"/>
    </row>
    <row r="69" spans="1:1" x14ac:dyDescent="0.2">
      <c r="A69" s="138"/>
    </row>
    <row r="70" spans="1:1" x14ac:dyDescent="0.2">
      <c r="A70" s="138"/>
    </row>
    <row r="71" spans="1:1" x14ac:dyDescent="0.2">
      <c r="A71" s="138"/>
    </row>
    <row r="72" spans="1:1" x14ac:dyDescent="0.2">
      <c r="A72" s="138"/>
    </row>
    <row r="73" spans="1:1" x14ac:dyDescent="0.2">
      <c r="A73" s="138"/>
    </row>
    <row r="74" spans="1:1" x14ac:dyDescent="0.2">
      <c r="A74" s="138"/>
    </row>
    <row r="75" spans="1:1" x14ac:dyDescent="0.2">
      <c r="A75" s="138"/>
    </row>
    <row r="76" spans="1:1" x14ac:dyDescent="0.2">
      <c r="A76" s="138"/>
    </row>
  </sheetData>
  <sheetProtection sheet="1" objects="1" scenarios="1"/>
  <mergeCells count="1">
    <mergeCell ref="I3:J3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6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5">
    <pageSetUpPr fitToPage="1"/>
  </sheetPr>
  <dimension ref="A1:Z64"/>
  <sheetViews>
    <sheetView workbookViewId="0">
      <selection activeCell="B1" sqref="B1"/>
    </sheetView>
  </sheetViews>
  <sheetFormatPr baseColWidth="10" defaultColWidth="11.42578125" defaultRowHeight="12.75" x14ac:dyDescent="0.2"/>
  <cols>
    <col min="1" max="1" width="2.7109375" style="138" customWidth="1"/>
    <col min="2" max="2" width="9.7109375" style="138" customWidth="1"/>
    <col min="3" max="3" width="13.28515625" style="138" customWidth="1"/>
    <col min="4" max="13" width="3.28515625" style="138" customWidth="1"/>
    <col min="14" max="17" width="13.28515625" style="138" customWidth="1"/>
    <col min="18" max="21" width="3.28515625" style="138" customWidth="1"/>
    <col min="22" max="26" width="13.28515625" style="138" customWidth="1"/>
    <col min="27" max="16384" width="11.42578125" style="138"/>
  </cols>
  <sheetData>
    <row r="1" spans="1:26" x14ac:dyDescent="0.2">
      <c r="B1" s="284" t="str">
        <f>Übersicht!A1&amp;" – Kostenquotenrechner"</f>
        <v>Zivilprozessrechner v2.42 – Kostenquotenrechner</v>
      </c>
      <c r="C1" s="50"/>
      <c r="D1" s="50"/>
      <c r="E1" s="50"/>
      <c r="F1" s="50"/>
      <c r="G1" s="50"/>
      <c r="H1" s="50"/>
      <c r="I1" s="50"/>
      <c r="J1" s="50"/>
      <c r="K1" s="50"/>
      <c r="L1" s="50"/>
      <c r="X1" s="145" t="s">
        <v>385</v>
      </c>
      <c r="Y1" s="856" t="str">
        <f>IF(Kostenquotenrechner!R2="","",Kostenquotenrechner!R2)</f>
        <v>... . .../..</v>
      </c>
      <c r="Z1" s="857"/>
    </row>
    <row r="2" spans="1:26" ht="13.5" thickBot="1" x14ac:dyDescent="0.25">
      <c r="X2" s="285" t="s">
        <v>386</v>
      </c>
      <c r="Y2" s="858">
        <f ca="1">TODAY()</f>
        <v>46203</v>
      </c>
      <c r="Z2" s="859"/>
    </row>
    <row r="3" spans="1:26" ht="13.5" thickBot="1" x14ac:dyDescent="0.25"/>
    <row r="4" spans="1:26" ht="13.5" thickBot="1" x14ac:dyDescent="0.25">
      <c r="A4" s="142" t="s">
        <v>360</v>
      </c>
      <c r="B4" s="287" t="s">
        <v>462</v>
      </c>
      <c r="C4" s="286"/>
      <c r="D4" s="287" t="s">
        <v>608</v>
      </c>
      <c r="E4" s="286"/>
      <c r="F4" s="863" t="s">
        <v>435</v>
      </c>
      <c r="G4" s="863"/>
      <c r="H4" s="287"/>
      <c r="I4" s="287"/>
      <c r="J4" s="287"/>
      <c r="K4" s="287"/>
      <c r="L4" s="287"/>
      <c r="M4" s="286"/>
      <c r="N4" s="863" t="s">
        <v>2</v>
      </c>
      <c r="O4" s="864"/>
      <c r="P4" s="864"/>
      <c r="Q4" s="286"/>
      <c r="R4" s="286"/>
      <c r="S4" s="286"/>
      <c r="T4" s="286"/>
      <c r="U4" s="286"/>
      <c r="V4" s="288" t="s">
        <v>464</v>
      </c>
    </row>
    <row r="5" spans="1:26" x14ac:dyDescent="0.2">
      <c r="B5" s="289" t="s">
        <v>438</v>
      </c>
      <c r="C5" s="217" t="s">
        <v>589</v>
      </c>
      <c r="D5" s="290" t="s">
        <v>609</v>
      </c>
      <c r="E5" s="217" t="s">
        <v>610</v>
      </c>
      <c r="F5" s="217" t="s">
        <v>436</v>
      </c>
      <c r="G5" s="217" t="s">
        <v>437</v>
      </c>
      <c r="H5" s="217" t="s">
        <v>441</v>
      </c>
      <c r="I5" s="291" t="s">
        <v>442</v>
      </c>
      <c r="J5" s="50"/>
      <c r="K5" s="50"/>
      <c r="L5" s="50"/>
      <c r="M5" s="50"/>
      <c r="N5" s="290" t="s">
        <v>436</v>
      </c>
      <c r="O5" s="217" t="s">
        <v>437</v>
      </c>
      <c r="P5" s="217" t="s">
        <v>441</v>
      </c>
      <c r="Q5" s="217" t="s">
        <v>442</v>
      </c>
      <c r="R5" s="290" t="s">
        <v>436</v>
      </c>
      <c r="S5" s="217" t="s">
        <v>437</v>
      </c>
      <c r="T5" s="217" t="s">
        <v>441</v>
      </c>
      <c r="U5" s="291" t="s">
        <v>442</v>
      </c>
      <c r="V5" s="161" t="s">
        <v>465</v>
      </c>
    </row>
    <row r="6" spans="1:26" x14ac:dyDescent="0.2">
      <c r="B6" s="701" t="str">
        <f>IF(Kostenquotenrechner!B6="","",Kostenquotenrechner!B6)</f>
        <v/>
      </c>
      <c r="C6" s="292" t="str">
        <f>IF(Kostenquotenrechner!C6="","",Kostenquotenrechner!C6)</f>
        <v/>
      </c>
      <c r="D6" s="209" t="str">
        <f>IF(Kostenquotenrechner!AV6=TRUE,"x","")</f>
        <v/>
      </c>
      <c r="E6" s="209" t="str">
        <f>IF(Kostenquotenrechner!AW6=TRUE,"x","")</f>
        <v/>
      </c>
      <c r="F6" s="209" t="str">
        <f>IF(Kostenquotenrechner!AX6=TRUE,"x","")</f>
        <v/>
      </c>
      <c r="G6" s="209" t="str">
        <f>IF(Kostenquotenrechner!AY6=TRUE,"x","")</f>
        <v/>
      </c>
      <c r="H6" s="209" t="str">
        <f>IF(Kostenquotenrechner!AZ6=TRUE,"x","")</f>
        <v/>
      </c>
      <c r="I6" s="293" t="str">
        <f>IF(Kostenquotenrechner!BA6=TRUE,"x","")</f>
        <v/>
      </c>
      <c r="J6" s="50"/>
      <c r="K6" s="50"/>
      <c r="L6" s="50"/>
      <c r="M6" s="50"/>
      <c r="N6" s="179" t="str">
        <f>IF(Kostenquotenrechner!N6="","",Kostenquotenrechner!N6)</f>
        <v/>
      </c>
      <c r="O6" s="179" t="str">
        <f>IF(Kostenquotenrechner!O6="","",Kostenquotenrechner!O6)</f>
        <v/>
      </c>
      <c r="P6" s="179" t="str">
        <f>IF(Kostenquotenrechner!P6="","",Kostenquotenrechner!P6)</f>
        <v/>
      </c>
      <c r="Q6" s="179" t="str">
        <f>IF(Kostenquotenrechner!Q6="","",Kostenquotenrechner!Q6)</f>
        <v/>
      </c>
      <c r="R6" s="294" t="str">
        <f>IF(Kostenquotenrechner!BF6=TRUE,"x","")</f>
        <v/>
      </c>
      <c r="S6" s="209" t="str">
        <f>IF(Kostenquotenrechner!BG6=TRUE,"x","")</f>
        <v/>
      </c>
      <c r="T6" s="209" t="str">
        <f>IF(Kostenquotenrechner!BH6=TRUE,"x","")</f>
        <v/>
      </c>
      <c r="U6" s="293" t="str">
        <f>IF(Kostenquotenrechner!BI6=TRUE,"x","")</f>
        <v/>
      </c>
      <c r="V6" s="241" t="str">
        <f>IF(Kostenquotenrechner!V6="","",Kostenquotenrechner!V6)</f>
        <v/>
      </c>
    </row>
    <row r="7" spans="1:26" x14ac:dyDescent="0.2">
      <c r="B7" s="702" t="str">
        <f>IF(Kostenquotenrechner!B7="","",Kostenquotenrechner!B7)</f>
        <v/>
      </c>
      <c r="C7" s="298" t="str">
        <f>IF(Kostenquotenrechner!C7="","",Kostenquotenrechner!C7)</f>
        <v/>
      </c>
      <c r="D7" s="221" t="str">
        <f>IF(Kostenquotenrechner!AV7=TRUE,"x","")</f>
        <v/>
      </c>
      <c r="E7" s="221" t="str">
        <f>IF(Kostenquotenrechner!AW7=TRUE,"x","")</f>
        <v/>
      </c>
      <c r="F7" s="221" t="str">
        <f>IF(Kostenquotenrechner!AX7=TRUE,"x","")</f>
        <v/>
      </c>
      <c r="G7" s="221" t="str">
        <f>IF(Kostenquotenrechner!AY7=TRUE,"x","")</f>
        <v/>
      </c>
      <c r="H7" s="221" t="str">
        <f>IF(Kostenquotenrechner!AZ7=TRUE,"x","")</f>
        <v/>
      </c>
      <c r="I7" s="299" t="str">
        <f>IF(Kostenquotenrechner!BA7=TRUE,"x","")</f>
        <v/>
      </c>
      <c r="J7" s="50"/>
      <c r="K7" s="50"/>
      <c r="L7" s="50"/>
      <c r="M7" s="50"/>
      <c r="N7" s="184" t="str">
        <f>IF(Kostenquotenrechner!N7="","",Kostenquotenrechner!N7)</f>
        <v/>
      </c>
      <c r="O7" s="184" t="str">
        <f>IF(Kostenquotenrechner!O7="","",Kostenquotenrechner!O7)</f>
        <v/>
      </c>
      <c r="P7" s="184" t="str">
        <f>IF(Kostenquotenrechner!P7="","",Kostenquotenrechner!P7)</f>
        <v/>
      </c>
      <c r="Q7" s="184" t="str">
        <f>IF(Kostenquotenrechner!Q7="","",Kostenquotenrechner!Q7)</f>
        <v/>
      </c>
      <c r="R7" s="300" t="str">
        <f>IF(Kostenquotenrechner!BF7=TRUE,"x","")</f>
        <v/>
      </c>
      <c r="S7" s="221" t="str">
        <f>IF(Kostenquotenrechner!BG7=TRUE,"x","")</f>
        <v/>
      </c>
      <c r="T7" s="221" t="str">
        <f>IF(Kostenquotenrechner!BH7=TRUE,"x","")</f>
        <v/>
      </c>
      <c r="U7" s="299" t="str">
        <f>IF(Kostenquotenrechner!BI7=TRUE,"x","")</f>
        <v/>
      </c>
      <c r="V7" s="242" t="str">
        <f>IF(Kostenquotenrechner!V7="","",Kostenquotenrechner!V7)</f>
        <v/>
      </c>
    </row>
    <row r="8" spans="1:26" x14ac:dyDescent="0.2">
      <c r="B8" s="702" t="str">
        <f>IF(Kostenquotenrechner!B8="","",Kostenquotenrechner!B8)</f>
        <v/>
      </c>
      <c r="C8" s="298" t="str">
        <f>IF(Kostenquotenrechner!C8="","",Kostenquotenrechner!C8)</f>
        <v/>
      </c>
      <c r="D8" s="221" t="str">
        <f>IF(Kostenquotenrechner!AV8=TRUE,"x","")</f>
        <v/>
      </c>
      <c r="E8" s="221" t="str">
        <f>IF(Kostenquotenrechner!AW8=TRUE,"x","")</f>
        <v/>
      </c>
      <c r="F8" s="221" t="str">
        <f>IF(Kostenquotenrechner!AX8=TRUE,"x","")</f>
        <v/>
      </c>
      <c r="G8" s="221" t="str">
        <f>IF(Kostenquotenrechner!AY8=TRUE,"x","")</f>
        <v/>
      </c>
      <c r="H8" s="221" t="str">
        <f>IF(Kostenquotenrechner!AZ8=TRUE,"x","")</f>
        <v/>
      </c>
      <c r="I8" s="299" t="str">
        <f>IF(Kostenquotenrechner!BA8=TRUE,"x","")</f>
        <v/>
      </c>
      <c r="J8" s="50"/>
      <c r="K8" s="50"/>
      <c r="L8" s="50"/>
      <c r="M8" s="50"/>
      <c r="N8" s="184" t="str">
        <f>IF(Kostenquotenrechner!N8="","",Kostenquotenrechner!N8)</f>
        <v/>
      </c>
      <c r="O8" s="184" t="str">
        <f>IF(Kostenquotenrechner!O8="","",Kostenquotenrechner!O8)</f>
        <v/>
      </c>
      <c r="P8" s="184" t="str">
        <f>IF(Kostenquotenrechner!P8="","",Kostenquotenrechner!P8)</f>
        <v/>
      </c>
      <c r="Q8" s="184" t="str">
        <f>IF(Kostenquotenrechner!Q8="","",Kostenquotenrechner!Q8)</f>
        <v/>
      </c>
      <c r="R8" s="300" t="str">
        <f>IF(Kostenquotenrechner!BF8=TRUE,"x","")</f>
        <v/>
      </c>
      <c r="S8" s="221" t="str">
        <f>IF(Kostenquotenrechner!BG8=TRUE,"x","")</f>
        <v/>
      </c>
      <c r="T8" s="221" t="str">
        <f>IF(Kostenquotenrechner!BH8=TRUE,"x","")</f>
        <v/>
      </c>
      <c r="U8" s="299" t="str">
        <f>IF(Kostenquotenrechner!BI8=TRUE,"x","")</f>
        <v/>
      </c>
      <c r="V8" s="242" t="str">
        <f>IF(Kostenquotenrechner!V8="","",Kostenquotenrechner!V8)</f>
        <v/>
      </c>
    </row>
    <row r="9" spans="1:26" x14ac:dyDescent="0.2">
      <c r="B9" s="702" t="str">
        <f>IF(Kostenquotenrechner!B9="","",Kostenquotenrechner!B9)</f>
        <v/>
      </c>
      <c r="C9" s="298" t="str">
        <f>IF(Kostenquotenrechner!C9="","",Kostenquotenrechner!C9)</f>
        <v/>
      </c>
      <c r="D9" s="221" t="str">
        <f>IF(Kostenquotenrechner!AV9=TRUE,"x","")</f>
        <v/>
      </c>
      <c r="E9" s="221" t="str">
        <f>IF(Kostenquotenrechner!AW9=TRUE,"x","")</f>
        <v/>
      </c>
      <c r="F9" s="221" t="str">
        <f>IF(Kostenquotenrechner!AX9=TRUE,"x","")</f>
        <v/>
      </c>
      <c r="G9" s="221" t="str">
        <f>IF(Kostenquotenrechner!AY9=TRUE,"x","")</f>
        <v/>
      </c>
      <c r="H9" s="221" t="str">
        <f>IF(Kostenquotenrechner!AZ9=TRUE,"x","")</f>
        <v/>
      </c>
      <c r="I9" s="299" t="str">
        <f>IF(Kostenquotenrechner!BA9=TRUE,"x","")</f>
        <v/>
      </c>
      <c r="J9" s="50"/>
      <c r="K9" s="50"/>
      <c r="L9" s="50"/>
      <c r="M9" s="50"/>
      <c r="N9" s="184" t="str">
        <f>IF(Kostenquotenrechner!N9="","",Kostenquotenrechner!N9)</f>
        <v/>
      </c>
      <c r="O9" s="184" t="str">
        <f>IF(Kostenquotenrechner!O9="","",Kostenquotenrechner!O9)</f>
        <v/>
      </c>
      <c r="P9" s="184" t="str">
        <f>IF(Kostenquotenrechner!P9="","",Kostenquotenrechner!P9)</f>
        <v/>
      </c>
      <c r="Q9" s="184" t="str">
        <f>IF(Kostenquotenrechner!Q9="","",Kostenquotenrechner!Q9)</f>
        <v/>
      </c>
      <c r="R9" s="300" t="str">
        <f>IF(Kostenquotenrechner!BF9=TRUE,"x","")</f>
        <v/>
      </c>
      <c r="S9" s="221" t="str">
        <f>IF(Kostenquotenrechner!BG9=TRUE,"x","")</f>
        <v/>
      </c>
      <c r="T9" s="221" t="str">
        <f>IF(Kostenquotenrechner!BH9=TRUE,"x","")</f>
        <v/>
      </c>
      <c r="U9" s="299" t="str">
        <f>IF(Kostenquotenrechner!BI9=TRUE,"x","")</f>
        <v/>
      </c>
      <c r="V9" s="242" t="str">
        <f>IF(Kostenquotenrechner!V9="","",Kostenquotenrechner!V9)</f>
        <v/>
      </c>
    </row>
    <row r="10" spans="1:26" x14ac:dyDescent="0.2">
      <c r="B10" s="702" t="str">
        <f>IF(Kostenquotenrechner!B10="","",Kostenquotenrechner!B10)</f>
        <v/>
      </c>
      <c r="C10" s="298" t="str">
        <f>IF(Kostenquotenrechner!C10="","",Kostenquotenrechner!C10)</f>
        <v/>
      </c>
      <c r="D10" s="221" t="str">
        <f>IF(Kostenquotenrechner!AV10=TRUE,"x","")</f>
        <v/>
      </c>
      <c r="E10" s="221" t="str">
        <f>IF(Kostenquotenrechner!AW10=TRUE,"x","")</f>
        <v/>
      </c>
      <c r="F10" s="221" t="str">
        <f>IF(Kostenquotenrechner!AX10=TRUE,"x","")</f>
        <v/>
      </c>
      <c r="G10" s="221" t="str">
        <f>IF(Kostenquotenrechner!AY10=TRUE,"x","")</f>
        <v/>
      </c>
      <c r="H10" s="221" t="str">
        <f>IF(Kostenquotenrechner!AZ10=TRUE,"x","")</f>
        <v/>
      </c>
      <c r="I10" s="299" t="str">
        <f>IF(Kostenquotenrechner!BA10=TRUE,"x","")</f>
        <v/>
      </c>
      <c r="J10" s="50"/>
      <c r="K10" s="50"/>
      <c r="L10" s="50"/>
      <c r="M10" s="50"/>
      <c r="N10" s="184" t="str">
        <f>IF(Kostenquotenrechner!N10="","",Kostenquotenrechner!N10)</f>
        <v/>
      </c>
      <c r="O10" s="184" t="str">
        <f>IF(Kostenquotenrechner!O10="","",Kostenquotenrechner!O10)</f>
        <v/>
      </c>
      <c r="P10" s="184" t="str">
        <f>IF(Kostenquotenrechner!P10="","",Kostenquotenrechner!P10)</f>
        <v/>
      </c>
      <c r="Q10" s="184" t="str">
        <f>IF(Kostenquotenrechner!Q10="","",Kostenquotenrechner!Q10)</f>
        <v/>
      </c>
      <c r="R10" s="300" t="str">
        <f>IF(Kostenquotenrechner!BF10=TRUE,"x","")</f>
        <v/>
      </c>
      <c r="S10" s="221" t="str">
        <f>IF(Kostenquotenrechner!BG10=TRUE,"x","")</f>
        <v/>
      </c>
      <c r="T10" s="221" t="str">
        <f>IF(Kostenquotenrechner!BH10=TRUE,"x","")</f>
        <v/>
      </c>
      <c r="U10" s="299" t="str">
        <f>IF(Kostenquotenrechner!BI10=TRUE,"x","")</f>
        <v/>
      </c>
      <c r="V10" s="242" t="str">
        <f>IF(Kostenquotenrechner!V10="","",Kostenquotenrechner!V10)</f>
        <v/>
      </c>
    </row>
    <row r="11" spans="1:26" x14ac:dyDescent="0.2">
      <c r="B11" s="702" t="str">
        <f>IF(Kostenquotenrechner!B11="","",Kostenquotenrechner!B11)</f>
        <v/>
      </c>
      <c r="C11" s="298" t="str">
        <f>IF(Kostenquotenrechner!C11="","",Kostenquotenrechner!C11)</f>
        <v/>
      </c>
      <c r="D11" s="221" t="str">
        <f>IF(Kostenquotenrechner!AV11=TRUE,"x","")</f>
        <v/>
      </c>
      <c r="E11" s="221" t="str">
        <f>IF(Kostenquotenrechner!AW11=TRUE,"x","")</f>
        <v/>
      </c>
      <c r="F11" s="221" t="str">
        <f>IF(Kostenquotenrechner!AX11=TRUE,"x","")</f>
        <v/>
      </c>
      <c r="G11" s="221" t="str">
        <f>IF(Kostenquotenrechner!AY11=TRUE,"x","")</f>
        <v/>
      </c>
      <c r="H11" s="221" t="str">
        <f>IF(Kostenquotenrechner!AZ11=TRUE,"x","")</f>
        <v/>
      </c>
      <c r="I11" s="299" t="str">
        <f>IF(Kostenquotenrechner!BA11=TRUE,"x","")</f>
        <v/>
      </c>
      <c r="J11" s="50"/>
      <c r="K11" s="50"/>
      <c r="L11" s="50"/>
      <c r="M11" s="50"/>
      <c r="N11" s="184" t="str">
        <f>IF(Kostenquotenrechner!N11="","",Kostenquotenrechner!N11)</f>
        <v/>
      </c>
      <c r="O11" s="184" t="str">
        <f>IF(Kostenquotenrechner!O11="","",Kostenquotenrechner!O11)</f>
        <v/>
      </c>
      <c r="P11" s="184" t="str">
        <f>IF(Kostenquotenrechner!P11="","",Kostenquotenrechner!P11)</f>
        <v/>
      </c>
      <c r="Q11" s="184" t="str">
        <f>IF(Kostenquotenrechner!Q11="","",Kostenquotenrechner!Q11)</f>
        <v/>
      </c>
      <c r="R11" s="300" t="str">
        <f>IF(Kostenquotenrechner!BF11=TRUE,"x","")</f>
        <v/>
      </c>
      <c r="S11" s="221" t="str">
        <f>IF(Kostenquotenrechner!BG11=TRUE,"x","")</f>
        <v/>
      </c>
      <c r="T11" s="221" t="str">
        <f>IF(Kostenquotenrechner!BH11=TRUE,"x","")</f>
        <v/>
      </c>
      <c r="U11" s="299" t="str">
        <f>IF(Kostenquotenrechner!BI11=TRUE,"x","")</f>
        <v/>
      </c>
      <c r="V11" s="242" t="str">
        <f>IF(Kostenquotenrechner!V11="","",Kostenquotenrechner!V11)</f>
        <v/>
      </c>
    </row>
    <row r="12" spans="1:26" x14ac:dyDescent="0.2">
      <c r="B12" s="702" t="str">
        <f>IF(Kostenquotenrechner!B12="","",Kostenquotenrechner!B12)</f>
        <v/>
      </c>
      <c r="C12" s="298" t="str">
        <f>IF(Kostenquotenrechner!C12="","",Kostenquotenrechner!C12)</f>
        <v/>
      </c>
      <c r="D12" s="221" t="str">
        <f>IF(Kostenquotenrechner!AV12=TRUE,"x","")</f>
        <v/>
      </c>
      <c r="E12" s="221" t="str">
        <f>IF(Kostenquotenrechner!AW12=TRUE,"x","")</f>
        <v/>
      </c>
      <c r="F12" s="221" t="str">
        <f>IF(Kostenquotenrechner!AX12=TRUE,"x","")</f>
        <v/>
      </c>
      <c r="G12" s="221" t="str">
        <f>IF(Kostenquotenrechner!AY12=TRUE,"x","")</f>
        <v/>
      </c>
      <c r="H12" s="221" t="str">
        <f>IF(Kostenquotenrechner!AZ12=TRUE,"x","")</f>
        <v/>
      </c>
      <c r="I12" s="299" t="str">
        <f>IF(Kostenquotenrechner!BA12=TRUE,"x","")</f>
        <v/>
      </c>
      <c r="J12" s="50"/>
      <c r="K12" s="50"/>
      <c r="L12" s="50"/>
      <c r="M12" s="50"/>
      <c r="N12" s="184" t="str">
        <f>IF(Kostenquotenrechner!N12="","",Kostenquotenrechner!N12)</f>
        <v/>
      </c>
      <c r="O12" s="184" t="str">
        <f>IF(Kostenquotenrechner!O12="","",Kostenquotenrechner!O12)</f>
        <v/>
      </c>
      <c r="P12" s="184" t="str">
        <f>IF(Kostenquotenrechner!P12="","",Kostenquotenrechner!P12)</f>
        <v/>
      </c>
      <c r="Q12" s="184" t="str">
        <f>IF(Kostenquotenrechner!Q12="","",Kostenquotenrechner!Q12)</f>
        <v/>
      </c>
      <c r="R12" s="300" t="str">
        <f>IF(Kostenquotenrechner!BF12=TRUE,"x","")</f>
        <v/>
      </c>
      <c r="S12" s="221" t="str">
        <f>IF(Kostenquotenrechner!BG12=TRUE,"x","")</f>
        <v/>
      </c>
      <c r="T12" s="221" t="str">
        <f>IF(Kostenquotenrechner!BH12=TRUE,"x","")</f>
        <v/>
      </c>
      <c r="U12" s="299" t="str">
        <f>IF(Kostenquotenrechner!BI12=TRUE,"x","")</f>
        <v/>
      </c>
      <c r="V12" s="242" t="str">
        <f>IF(Kostenquotenrechner!V12="","",Kostenquotenrechner!V12)</f>
        <v/>
      </c>
    </row>
    <row r="13" spans="1:26" x14ac:dyDescent="0.2">
      <c r="B13" s="702" t="str">
        <f>IF(Kostenquotenrechner!B13="","",Kostenquotenrechner!B13)</f>
        <v/>
      </c>
      <c r="C13" s="298" t="str">
        <f>IF(Kostenquotenrechner!C13="","",Kostenquotenrechner!C13)</f>
        <v/>
      </c>
      <c r="D13" s="221" t="str">
        <f>IF(Kostenquotenrechner!AV13=TRUE,"x","")</f>
        <v/>
      </c>
      <c r="E13" s="221" t="str">
        <f>IF(Kostenquotenrechner!AW13=TRUE,"x","")</f>
        <v/>
      </c>
      <c r="F13" s="221" t="str">
        <f>IF(Kostenquotenrechner!AX13=TRUE,"x","")</f>
        <v/>
      </c>
      <c r="G13" s="221" t="str">
        <f>IF(Kostenquotenrechner!AY13=TRUE,"x","")</f>
        <v/>
      </c>
      <c r="H13" s="221" t="str">
        <f>IF(Kostenquotenrechner!AZ13=TRUE,"x","")</f>
        <v/>
      </c>
      <c r="I13" s="299" t="str">
        <f>IF(Kostenquotenrechner!BA13=TRUE,"x","")</f>
        <v/>
      </c>
      <c r="J13" s="50"/>
      <c r="K13" s="50"/>
      <c r="L13" s="50"/>
      <c r="M13" s="50"/>
      <c r="N13" s="184" t="str">
        <f>IF(Kostenquotenrechner!N13="","",Kostenquotenrechner!N13)</f>
        <v/>
      </c>
      <c r="O13" s="184" t="str">
        <f>IF(Kostenquotenrechner!O13="","",Kostenquotenrechner!O13)</f>
        <v/>
      </c>
      <c r="P13" s="184" t="str">
        <f>IF(Kostenquotenrechner!P13="","",Kostenquotenrechner!P13)</f>
        <v/>
      </c>
      <c r="Q13" s="184" t="str">
        <f>IF(Kostenquotenrechner!Q13="","",Kostenquotenrechner!Q13)</f>
        <v/>
      </c>
      <c r="R13" s="300" t="str">
        <f>IF(Kostenquotenrechner!BF13=TRUE,"x","")</f>
        <v/>
      </c>
      <c r="S13" s="221" t="str">
        <f>IF(Kostenquotenrechner!BG13=TRUE,"x","")</f>
        <v/>
      </c>
      <c r="T13" s="221" t="str">
        <f>IF(Kostenquotenrechner!BH13=TRUE,"x","")</f>
        <v/>
      </c>
      <c r="U13" s="299" t="str">
        <f>IF(Kostenquotenrechner!BI13=TRUE,"x","")</f>
        <v/>
      </c>
      <c r="V13" s="242" t="str">
        <f>IF(Kostenquotenrechner!V13="","",Kostenquotenrechner!V13)</f>
        <v/>
      </c>
    </row>
    <row r="14" spans="1:26" x14ac:dyDescent="0.2">
      <c r="B14" s="702" t="str">
        <f>IF(Kostenquotenrechner!B14="","",Kostenquotenrechner!B14)</f>
        <v/>
      </c>
      <c r="C14" s="298" t="str">
        <f>IF(Kostenquotenrechner!C14="","",Kostenquotenrechner!C14)</f>
        <v/>
      </c>
      <c r="D14" s="221" t="str">
        <f>IF(Kostenquotenrechner!AV14=TRUE,"x","")</f>
        <v/>
      </c>
      <c r="E14" s="221" t="str">
        <f>IF(Kostenquotenrechner!AW14=TRUE,"x","")</f>
        <v/>
      </c>
      <c r="F14" s="221" t="str">
        <f>IF(Kostenquotenrechner!AX14=TRUE,"x","")</f>
        <v/>
      </c>
      <c r="G14" s="221" t="str">
        <f>IF(Kostenquotenrechner!AY14=TRUE,"x","")</f>
        <v/>
      </c>
      <c r="H14" s="221" t="str">
        <f>IF(Kostenquotenrechner!AZ14=TRUE,"x","")</f>
        <v/>
      </c>
      <c r="I14" s="299" t="str">
        <f>IF(Kostenquotenrechner!BA14=TRUE,"x","")</f>
        <v/>
      </c>
      <c r="J14" s="50"/>
      <c r="K14" s="50"/>
      <c r="L14" s="50"/>
      <c r="M14" s="50"/>
      <c r="N14" s="184" t="str">
        <f>IF(Kostenquotenrechner!N14="","",Kostenquotenrechner!N14)</f>
        <v/>
      </c>
      <c r="O14" s="184" t="str">
        <f>IF(Kostenquotenrechner!O14="","",Kostenquotenrechner!O14)</f>
        <v/>
      </c>
      <c r="P14" s="184" t="str">
        <f>IF(Kostenquotenrechner!P14="","",Kostenquotenrechner!P14)</f>
        <v/>
      </c>
      <c r="Q14" s="184" t="str">
        <f>IF(Kostenquotenrechner!Q14="","",Kostenquotenrechner!Q14)</f>
        <v/>
      </c>
      <c r="R14" s="300" t="str">
        <f>IF(Kostenquotenrechner!BF14=TRUE,"x","")</f>
        <v/>
      </c>
      <c r="S14" s="221" t="str">
        <f>IF(Kostenquotenrechner!BG14=TRUE,"x","")</f>
        <v/>
      </c>
      <c r="T14" s="221" t="str">
        <f>IF(Kostenquotenrechner!BH14=TRUE,"x","")</f>
        <v/>
      </c>
      <c r="U14" s="299" t="str">
        <f>IF(Kostenquotenrechner!BI14=TRUE,"x","")</f>
        <v/>
      </c>
      <c r="V14" s="242" t="str">
        <f>IF(Kostenquotenrechner!V14="","",Kostenquotenrechner!V14)</f>
        <v/>
      </c>
    </row>
    <row r="15" spans="1:26" x14ac:dyDescent="0.2">
      <c r="B15" s="703" t="str">
        <f>IF(Kostenquotenrechner!B15="","",Kostenquotenrechner!B15)</f>
        <v/>
      </c>
      <c r="C15" s="301" t="str">
        <f>IF(Kostenquotenrechner!C15="","",Kostenquotenrechner!C15)</f>
        <v/>
      </c>
      <c r="D15" s="224" t="str">
        <f>IF(Kostenquotenrechner!AV15=TRUE,"x","")</f>
        <v/>
      </c>
      <c r="E15" s="224" t="str">
        <f>IF(Kostenquotenrechner!AW15=TRUE,"x","")</f>
        <v/>
      </c>
      <c r="F15" s="224" t="str">
        <f>IF(Kostenquotenrechner!AX15=TRUE,"x","")</f>
        <v/>
      </c>
      <c r="G15" s="224" t="str">
        <f>IF(Kostenquotenrechner!AY15=TRUE,"x","")</f>
        <v/>
      </c>
      <c r="H15" s="224" t="str">
        <f>IF(Kostenquotenrechner!AZ15=TRUE,"x","")</f>
        <v/>
      </c>
      <c r="I15" s="302" t="str">
        <f>IF(Kostenquotenrechner!BA15=TRUE,"x","")</f>
        <v/>
      </c>
      <c r="J15" s="50"/>
      <c r="K15" s="50"/>
      <c r="L15" s="50"/>
      <c r="M15" s="50"/>
      <c r="N15" s="175" t="str">
        <f>IF(Kostenquotenrechner!N15="","",Kostenquotenrechner!N15)</f>
        <v/>
      </c>
      <c r="O15" s="175" t="str">
        <f>IF(Kostenquotenrechner!O15="","",Kostenquotenrechner!O15)</f>
        <v/>
      </c>
      <c r="P15" s="175" t="str">
        <f>IF(Kostenquotenrechner!P15="","",Kostenquotenrechner!P15)</f>
        <v/>
      </c>
      <c r="Q15" s="175" t="str">
        <f>IF(Kostenquotenrechner!Q15="","",Kostenquotenrechner!Q15)</f>
        <v/>
      </c>
      <c r="R15" s="303" t="str">
        <f>IF(Kostenquotenrechner!BF15=TRUE,"x","")</f>
        <v/>
      </c>
      <c r="S15" s="224" t="str">
        <f>IF(Kostenquotenrechner!BG15=TRUE,"x","")</f>
        <v/>
      </c>
      <c r="T15" s="224" t="str">
        <f>IF(Kostenquotenrechner!BH15=TRUE,"x","")</f>
        <v/>
      </c>
      <c r="U15" s="302" t="str">
        <f>IF(Kostenquotenrechner!BI15=TRUE,"x","")</f>
        <v/>
      </c>
      <c r="V15" s="304" t="str">
        <f>IF(Kostenquotenrechner!V15="","",Kostenquotenrechner!V15)</f>
        <v/>
      </c>
    </row>
    <row r="16" spans="1:26" x14ac:dyDescent="0.2">
      <c r="B16" s="305" t="s">
        <v>590</v>
      </c>
      <c r="C16" s="160"/>
      <c r="D16" s="50"/>
      <c r="E16" s="50"/>
      <c r="F16" s="284" t="s">
        <v>608</v>
      </c>
      <c r="G16" s="50"/>
      <c r="H16" s="50"/>
      <c r="I16" s="50"/>
      <c r="J16" s="284" t="s">
        <v>435</v>
      </c>
      <c r="K16" s="50"/>
      <c r="L16" s="50"/>
      <c r="M16" s="50"/>
      <c r="N16" s="865" t="s">
        <v>3</v>
      </c>
      <c r="O16" s="866"/>
      <c r="P16" s="866"/>
      <c r="Q16" s="160"/>
      <c r="R16" s="50"/>
      <c r="S16" s="50"/>
      <c r="T16" s="50"/>
      <c r="U16" s="50"/>
      <c r="V16" s="161" t="s">
        <v>464</v>
      </c>
    </row>
    <row r="17" spans="1:22" x14ac:dyDescent="0.2">
      <c r="B17" s="306" t="s">
        <v>438</v>
      </c>
      <c r="C17" s="291" t="s">
        <v>589</v>
      </c>
      <c r="D17" s="50"/>
      <c r="E17" s="50"/>
      <c r="F17" s="290" t="s">
        <v>436</v>
      </c>
      <c r="G17" s="217" t="s">
        <v>437</v>
      </c>
      <c r="H17" s="217" t="s">
        <v>441</v>
      </c>
      <c r="I17" s="217" t="s">
        <v>442</v>
      </c>
      <c r="J17" s="217" t="s">
        <v>609</v>
      </c>
      <c r="K17" s="217" t="s">
        <v>610</v>
      </c>
      <c r="L17" s="217" t="s">
        <v>4</v>
      </c>
      <c r="M17" s="291" t="s">
        <v>8</v>
      </c>
      <c r="N17" s="217" t="s">
        <v>609</v>
      </c>
      <c r="O17" s="217" t="s">
        <v>610</v>
      </c>
      <c r="P17" s="217" t="s">
        <v>4</v>
      </c>
      <c r="Q17" s="217" t="s">
        <v>8</v>
      </c>
      <c r="R17" s="290" t="s">
        <v>609</v>
      </c>
      <c r="S17" s="217" t="s">
        <v>610</v>
      </c>
      <c r="T17" s="217" t="s">
        <v>4</v>
      </c>
      <c r="U17" s="291" t="s">
        <v>8</v>
      </c>
      <c r="V17" s="161" t="s">
        <v>465</v>
      </c>
    </row>
    <row r="18" spans="1:22" x14ac:dyDescent="0.2">
      <c r="B18" s="704" t="str">
        <f>IF(Kostenquotenrechner!B18="","",Kostenquotenrechner!B18)</f>
        <v/>
      </c>
      <c r="C18" s="292" t="str">
        <f>IF(Kostenquotenrechner!C18="","",Kostenquotenrechner!C18)</f>
        <v/>
      </c>
      <c r="D18" s="307"/>
      <c r="F18" s="294" t="str">
        <f>IF(Kostenquotenrechner!AX18=TRUE,"x","")</f>
        <v/>
      </c>
      <c r="G18" s="209" t="str">
        <f>IF(Kostenquotenrechner!AY18=TRUE,"x","")</f>
        <v/>
      </c>
      <c r="H18" s="209" t="str">
        <f>IF(Kostenquotenrechner!AZ18=TRUE,"x","")</f>
        <v/>
      </c>
      <c r="I18" s="209" t="str">
        <f>IF(Kostenquotenrechner!BA18=TRUE,"x","")</f>
        <v/>
      </c>
      <c r="J18" s="209" t="str">
        <f>IF(Kostenquotenrechner!BB18=TRUE,"x","")</f>
        <v/>
      </c>
      <c r="K18" s="209" t="str">
        <f>IF(Kostenquotenrechner!BC18=TRUE,"x","")</f>
        <v/>
      </c>
      <c r="L18" s="209" t="str">
        <f>IF(Kostenquotenrechner!BD18=TRUE,"x","")</f>
        <v/>
      </c>
      <c r="M18" s="209" t="str">
        <f>IF(Kostenquotenrechner!BE18=TRUE,"x","")</f>
        <v/>
      </c>
      <c r="N18" s="179" t="str">
        <f>IF(Kostenquotenrechner!N18="","",Kostenquotenrechner!N18)</f>
        <v/>
      </c>
      <c r="O18" s="179" t="str">
        <f>IF(Kostenquotenrechner!O18="","",Kostenquotenrechner!O18)</f>
        <v/>
      </c>
      <c r="P18" s="179" t="str">
        <f>IF(Kostenquotenrechner!P18="","",Kostenquotenrechner!P18)</f>
        <v/>
      </c>
      <c r="Q18" s="179" t="str">
        <f>IF(Kostenquotenrechner!Q18="","",Kostenquotenrechner!Q18)</f>
        <v/>
      </c>
      <c r="R18" s="203" t="str">
        <f>IF(Kostenquotenrechner!BF18=TRUE,"x","")</f>
        <v/>
      </c>
      <c r="S18" s="203" t="str">
        <f>IF(Kostenquotenrechner!BG18=TRUE,"x","")</f>
        <v/>
      </c>
      <c r="T18" s="203" t="str">
        <f>IF(Kostenquotenrechner!BH18=TRUE,"x","")</f>
        <v/>
      </c>
      <c r="U18" s="203" t="str">
        <f>IF(Kostenquotenrechner!BI18=TRUE,"x","")</f>
        <v/>
      </c>
      <c r="V18" s="241" t="str">
        <f>IF(Kostenquotenrechner!V18="","",Kostenquotenrechner!V18)</f>
        <v/>
      </c>
    </row>
    <row r="19" spans="1:22" x14ac:dyDescent="0.2">
      <c r="B19" s="702" t="str">
        <f>IF(Kostenquotenrechner!B19="","",Kostenquotenrechner!B19)</f>
        <v/>
      </c>
      <c r="C19" s="298" t="str">
        <f>IF(Kostenquotenrechner!C19="","",Kostenquotenrechner!C19)</f>
        <v/>
      </c>
      <c r="D19" s="307"/>
      <c r="F19" s="300" t="str">
        <f>IF(Kostenquotenrechner!AX19=TRUE,"x","")</f>
        <v/>
      </c>
      <c r="G19" s="221" t="str">
        <f>IF(Kostenquotenrechner!AY19=TRUE,"x","")</f>
        <v/>
      </c>
      <c r="H19" s="221" t="str">
        <f>IF(Kostenquotenrechner!AZ19=TRUE,"x","")</f>
        <v/>
      </c>
      <c r="I19" s="221" t="str">
        <f>IF(Kostenquotenrechner!BA19=TRUE,"x","")</f>
        <v/>
      </c>
      <c r="J19" s="221" t="str">
        <f>IF(Kostenquotenrechner!BB19=TRUE,"x","")</f>
        <v/>
      </c>
      <c r="K19" s="221" t="str">
        <f>IF(Kostenquotenrechner!BC19=TRUE,"x","")</f>
        <v/>
      </c>
      <c r="L19" s="221" t="str">
        <f>IF(Kostenquotenrechner!BD19=TRUE,"x","")</f>
        <v/>
      </c>
      <c r="M19" s="221" t="str">
        <f>IF(Kostenquotenrechner!BE19=TRUE,"x","")</f>
        <v/>
      </c>
      <c r="N19" s="184" t="str">
        <f>IF(Kostenquotenrechner!N19="","",Kostenquotenrechner!N19)</f>
        <v/>
      </c>
      <c r="O19" s="184" t="str">
        <f>IF(Kostenquotenrechner!O19="","",Kostenquotenrechner!O19)</f>
        <v/>
      </c>
      <c r="P19" s="184" t="str">
        <f>IF(Kostenquotenrechner!P19="","",Kostenquotenrechner!P19)</f>
        <v/>
      </c>
      <c r="Q19" s="184" t="str">
        <f>IF(Kostenquotenrechner!Q19="","",Kostenquotenrechner!Q19)</f>
        <v/>
      </c>
      <c r="R19" s="221" t="str">
        <f>IF(Kostenquotenrechner!BF19=TRUE,"x","")</f>
        <v/>
      </c>
      <c r="S19" s="221" t="str">
        <f>IF(Kostenquotenrechner!BG19=TRUE,"x","")</f>
        <v/>
      </c>
      <c r="T19" s="221" t="str">
        <f>IF(Kostenquotenrechner!BH19=TRUE,"x","")</f>
        <v/>
      </c>
      <c r="U19" s="221" t="str">
        <f>IF(Kostenquotenrechner!BI19=TRUE,"x","")</f>
        <v/>
      </c>
      <c r="V19" s="242" t="str">
        <f>IF(Kostenquotenrechner!V19="","",Kostenquotenrechner!V19)</f>
        <v/>
      </c>
    </row>
    <row r="20" spans="1:22" ht="13.5" thickBot="1" x14ac:dyDescent="0.25">
      <c r="B20" s="705" t="str">
        <f>IF(Kostenquotenrechner!B20="","",Kostenquotenrechner!B20)</f>
        <v/>
      </c>
      <c r="C20" s="308" t="str">
        <f>IF(Kostenquotenrechner!C20="","",Kostenquotenrechner!C20)</f>
        <v/>
      </c>
      <c r="D20" s="309"/>
      <c r="E20" s="194"/>
      <c r="F20" s="310" t="str">
        <f>IF(Kostenquotenrechner!AX20=TRUE,"x","")</f>
        <v/>
      </c>
      <c r="G20" s="311" t="str">
        <f>IF(Kostenquotenrechner!AY20=TRUE,"x","")</f>
        <v/>
      </c>
      <c r="H20" s="311" t="str">
        <f>IF(Kostenquotenrechner!AZ20=TRUE,"x","")</f>
        <v/>
      </c>
      <c r="I20" s="311" t="str">
        <f>IF(Kostenquotenrechner!BA20=TRUE,"x","")</f>
        <v/>
      </c>
      <c r="J20" s="311" t="str">
        <f>IF(Kostenquotenrechner!BB20=TRUE,"x","")</f>
        <v/>
      </c>
      <c r="K20" s="311" t="str">
        <f>IF(Kostenquotenrechner!BC20=TRUE,"x","")</f>
        <v/>
      </c>
      <c r="L20" s="311" t="str">
        <f>IF(Kostenquotenrechner!BD20=TRUE,"x","")</f>
        <v/>
      </c>
      <c r="M20" s="311" t="str">
        <f>IF(Kostenquotenrechner!BE20=TRUE,"x","")</f>
        <v/>
      </c>
      <c r="N20" s="236" t="str">
        <f>IF(Kostenquotenrechner!N20="","",Kostenquotenrechner!N20)</f>
        <v/>
      </c>
      <c r="O20" s="236" t="str">
        <f>IF(Kostenquotenrechner!O20="","",Kostenquotenrechner!O20)</f>
        <v/>
      </c>
      <c r="P20" s="236" t="str">
        <f>IF(Kostenquotenrechner!P20="","",Kostenquotenrechner!P20)</f>
        <v/>
      </c>
      <c r="Q20" s="236" t="str">
        <f>IF(Kostenquotenrechner!Q20="","",Kostenquotenrechner!Q20)</f>
        <v/>
      </c>
      <c r="R20" s="311" t="str">
        <f>IF(Kostenquotenrechner!BF20=TRUE,"x","")</f>
        <v/>
      </c>
      <c r="S20" s="311" t="str">
        <f>IF(Kostenquotenrechner!BG20=TRUE,"x","")</f>
        <v/>
      </c>
      <c r="T20" s="311" t="str">
        <f>IF(Kostenquotenrechner!BH20=TRUE,"x","")</f>
        <v/>
      </c>
      <c r="U20" s="311" t="str">
        <f>IF(Kostenquotenrechner!BI20=TRUE,"x","")</f>
        <v/>
      </c>
      <c r="V20" s="244" t="str">
        <f>IF(Kostenquotenrechner!V20="","",Kostenquotenrechner!V20)</f>
        <v/>
      </c>
    </row>
    <row r="21" spans="1:22" ht="13.5" thickBot="1" x14ac:dyDescent="0.25"/>
    <row r="22" spans="1:22" ht="13.5" thickBot="1" x14ac:dyDescent="0.25">
      <c r="A22" s="142" t="s">
        <v>28</v>
      </c>
      <c r="B22" s="287" t="s">
        <v>460</v>
      </c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8"/>
    </row>
    <row r="23" spans="1:22" ht="12.75" customHeight="1" x14ac:dyDescent="0.2">
      <c r="B23" s="165" t="s">
        <v>9</v>
      </c>
      <c r="C23" s="198"/>
      <c r="D23" s="167"/>
      <c r="E23" s="312" t="s">
        <v>39</v>
      </c>
      <c r="F23" s="312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313"/>
    </row>
    <row r="24" spans="1:22" ht="12.75" customHeight="1" x14ac:dyDescent="0.2">
      <c r="B24" s="314"/>
      <c r="C24" s="50"/>
      <c r="D24" s="315"/>
      <c r="E24" s="851" t="str">
        <f>IF(Kostenquotenrechner!E24="","",Kostenquotenrechner!E24)</f>
        <v/>
      </c>
      <c r="F24" s="852" t="str">
        <f>IF(Kostenquotenrechner!F24="","",Kostenquotenrechner!F24)</f>
        <v/>
      </c>
      <c r="G24" s="852" t="str">
        <f>IF(Kostenquotenrechner!G24="","",Kostenquotenrechner!G24)</f>
        <v/>
      </c>
      <c r="H24" s="852" t="str">
        <f>IF(Kostenquotenrechner!H24="","",Kostenquotenrechner!H24)</f>
        <v/>
      </c>
      <c r="I24" s="852" t="str">
        <f>IF(Kostenquotenrechner!I24="","",Kostenquotenrechner!I24)</f>
        <v/>
      </c>
      <c r="J24" s="852" t="str">
        <f>IF(Kostenquotenrechner!J24="","",Kostenquotenrechner!J24)</f>
        <v/>
      </c>
      <c r="K24" s="852" t="str">
        <f>IF(Kostenquotenrechner!K24="","",Kostenquotenrechner!K24)</f>
        <v/>
      </c>
      <c r="L24" s="852" t="str">
        <f>IF(Kostenquotenrechner!L24="","",Kostenquotenrechner!L24)</f>
        <v/>
      </c>
      <c r="M24" s="852" t="str">
        <f>IF(Kostenquotenrechner!M24="","",Kostenquotenrechner!M24)</f>
        <v/>
      </c>
      <c r="N24" s="852" t="str">
        <f>IF(Kostenquotenrechner!N24="","",Kostenquotenrechner!N24)</f>
        <v/>
      </c>
      <c r="O24" s="852" t="str">
        <f>IF(Kostenquotenrechner!O24="","",Kostenquotenrechner!O24)</f>
        <v/>
      </c>
      <c r="P24" s="852" t="str">
        <f>IF(Kostenquotenrechner!P24="","",Kostenquotenrechner!P24)</f>
        <v/>
      </c>
      <c r="Q24" s="852" t="str">
        <f>IF(Kostenquotenrechner!Q24="","",Kostenquotenrechner!Q24)</f>
        <v/>
      </c>
      <c r="R24" s="852" t="str">
        <f>IF(Kostenquotenrechner!R24="","",Kostenquotenrechner!R24)</f>
        <v/>
      </c>
      <c r="S24" s="852" t="str">
        <f>IF(Kostenquotenrechner!S24="","",Kostenquotenrechner!S24)</f>
        <v/>
      </c>
      <c r="T24" s="852" t="str">
        <f>IF(Kostenquotenrechner!T24="","",Kostenquotenrechner!T24)</f>
        <v/>
      </c>
      <c r="U24" s="852" t="str">
        <f>IF(Kostenquotenrechner!U24="","",Kostenquotenrechner!U24)</f>
        <v/>
      </c>
      <c r="V24" s="853" t="str">
        <f>IF(Kostenquotenrechner!V24="","",Kostenquotenrechner!V24)</f>
        <v/>
      </c>
    </row>
    <row r="25" spans="1:22" x14ac:dyDescent="0.2">
      <c r="B25" s="314"/>
      <c r="C25" s="50"/>
      <c r="D25" s="315"/>
      <c r="E25" s="852" t="str">
        <f>IF(Kostenquotenrechner!E25="","",Kostenquotenrechner!E25)</f>
        <v/>
      </c>
      <c r="F25" s="852" t="str">
        <f>IF(Kostenquotenrechner!F25="","",Kostenquotenrechner!F25)</f>
        <v/>
      </c>
      <c r="G25" s="852" t="str">
        <f>IF(Kostenquotenrechner!G25="","",Kostenquotenrechner!G25)</f>
        <v/>
      </c>
      <c r="H25" s="852" t="str">
        <f>IF(Kostenquotenrechner!H25="","",Kostenquotenrechner!H25)</f>
        <v/>
      </c>
      <c r="I25" s="852" t="str">
        <f>IF(Kostenquotenrechner!I25="","",Kostenquotenrechner!I25)</f>
        <v/>
      </c>
      <c r="J25" s="852" t="str">
        <f>IF(Kostenquotenrechner!J25="","",Kostenquotenrechner!J25)</f>
        <v/>
      </c>
      <c r="K25" s="852" t="str">
        <f>IF(Kostenquotenrechner!K25="","",Kostenquotenrechner!K25)</f>
        <v/>
      </c>
      <c r="L25" s="852" t="str">
        <f>IF(Kostenquotenrechner!L25="","",Kostenquotenrechner!L25)</f>
        <v/>
      </c>
      <c r="M25" s="852" t="str">
        <f>IF(Kostenquotenrechner!M25="","",Kostenquotenrechner!M25)</f>
        <v/>
      </c>
      <c r="N25" s="852" t="str">
        <f>IF(Kostenquotenrechner!N25="","",Kostenquotenrechner!N25)</f>
        <v/>
      </c>
      <c r="O25" s="852" t="str">
        <f>IF(Kostenquotenrechner!O25="","",Kostenquotenrechner!O25)</f>
        <v/>
      </c>
      <c r="P25" s="852" t="str">
        <f>IF(Kostenquotenrechner!P25="","",Kostenquotenrechner!P25)</f>
        <v/>
      </c>
      <c r="Q25" s="852" t="str">
        <f>IF(Kostenquotenrechner!Q25="","",Kostenquotenrechner!Q25)</f>
        <v/>
      </c>
      <c r="R25" s="852" t="str">
        <f>IF(Kostenquotenrechner!R25="","",Kostenquotenrechner!R25)</f>
        <v/>
      </c>
      <c r="S25" s="852" t="str">
        <f>IF(Kostenquotenrechner!S25="","",Kostenquotenrechner!S25)</f>
        <v/>
      </c>
      <c r="T25" s="852" t="str">
        <f>IF(Kostenquotenrechner!T25="","",Kostenquotenrechner!T25)</f>
        <v/>
      </c>
      <c r="U25" s="852" t="str">
        <f>IF(Kostenquotenrechner!U25="","",Kostenquotenrechner!U25)</f>
        <v/>
      </c>
      <c r="V25" s="853" t="str">
        <f>IF(Kostenquotenrechner!V25="","",Kostenquotenrechner!V25)</f>
        <v/>
      </c>
    </row>
    <row r="26" spans="1:22" x14ac:dyDescent="0.2">
      <c r="B26" s="314"/>
      <c r="C26" s="50"/>
      <c r="D26" s="315"/>
      <c r="E26" s="852" t="str">
        <f>IF(Kostenquotenrechner!E26="","",Kostenquotenrechner!E26)</f>
        <v/>
      </c>
      <c r="F26" s="852" t="str">
        <f>IF(Kostenquotenrechner!F26="","",Kostenquotenrechner!F26)</f>
        <v/>
      </c>
      <c r="G26" s="852" t="str">
        <f>IF(Kostenquotenrechner!G26="","",Kostenquotenrechner!G26)</f>
        <v/>
      </c>
      <c r="H26" s="852" t="str">
        <f>IF(Kostenquotenrechner!H26="","",Kostenquotenrechner!H26)</f>
        <v/>
      </c>
      <c r="I26" s="852" t="str">
        <f>IF(Kostenquotenrechner!I26="","",Kostenquotenrechner!I26)</f>
        <v/>
      </c>
      <c r="J26" s="852" t="str">
        <f>IF(Kostenquotenrechner!J26="","",Kostenquotenrechner!J26)</f>
        <v/>
      </c>
      <c r="K26" s="852" t="str">
        <f>IF(Kostenquotenrechner!K26="","",Kostenquotenrechner!K26)</f>
        <v/>
      </c>
      <c r="L26" s="852" t="str">
        <f>IF(Kostenquotenrechner!L26="","",Kostenquotenrechner!L26)</f>
        <v/>
      </c>
      <c r="M26" s="852" t="str">
        <f>IF(Kostenquotenrechner!M26="","",Kostenquotenrechner!M26)</f>
        <v/>
      </c>
      <c r="N26" s="852" t="str">
        <f>IF(Kostenquotenrechner!N26="","",Kostenquotenrechner!N26)</f>
        <v/>
      </c>
      <c r="O26" s="852" t="str">
        <f>IF(Kostenquotenrechner!O26="","",Kostenquotenrechner!O26)</f>
        <v/>
      </c>
      <c r="P26" s="852" t="str">
        <f>IF(Kostenquotenrechner!P26="","",Kostenquotenrechner!P26)</f>
        <v/>
      </c>
      <c r="Q26" s="852" t="str">
        <f>IF(Kostenquotenrechner!Q26="","",Kostenquotenrechner!Q26)</f>
        <v/>
      </c>
      <c r="R26" s="852" t="str">
        <f>IF(Kostenquotenrechner!R26="","",Kostenquotenrechner!R26)</f>
        <v/>
      </c>
      <c r="S26" s="852" t="str">
        <f>IF(Kostenquotenrechner!S26="","",Kostenquotenrechner!S26)</f>
        <v/>
      </c>
      <c r="T26" s="852" t="str">
        <f>IF(Kostenquotenrechner!T26="","",Kostenquotenrechner!T26)</f>
        <v/>
      </c>
      <c r="U26" s="852" t="str">
        <f>IF(Kostenquotenrechner!U26="","",Kostenquotenrechner!U26)</f>
        <v/>
      </c>
      <c r="V26" s="853" t="str">
        <f>IF(Kostenquotenrechner!V26="","",Kostenquotenrechner!V26)</f>
        <v/>
      </c>
    </row>
    <row r="27" spans="1:22" x14ac:dyDescent="0.2">
      <c r="B27" s="165" t="s">
        <v>57</v>
      </c>
      <c r="C27" s="198"/>
      <c r="D27" s="167"/>
      <c r="E27" s="312" t="s">
        <v>39</v>
      </c>
      <c r="F27" s="312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313"/>
    </row>
    <row r="28" spans="1:22" ht="12.75" customHeight="1" x14ac:dyDescent="0.2">
      <c r="B28" s="316" t="s">
        <v>43</v>
      </c>
      <c r="C28" s="160"/>
      <c r="D28" s="317"/>
      <c r="E28" s="860" t="str">
        <f>IF(Kostenquotenrechner!E28="","",Kostenquotenrechner!E28)</f>
        <v/>
      </c>
      <c r="F28" s="861"/>
      <c r="G28" s="861"/>
      <c r="H28" s="861"/>
      <c r="I28" s="861"/>
      <c r="J28" s="861"/>
      <c r="K28" s="861"/>
      <c r="L28" s="861"/>
      <c r="M28" s="861"/>
      <c r="N28" s="861"/>
      <c r="O28" s="861"/>
      <c r="P28" s="861"/>
      <c r="Q28" s="861"/>
      <c r="R28" s="861"/>
      <c r="S28" s="861"/>
      <c r="T28" s="861"/>
      <c r="U28" s="861"/>
      <c r="V28" s="862"/>
    </row>
    <row r="29" spans="1:22" x14ac:dyDescent="0.2">
      <c r="B29" s="219"/>
      <c r="C29" s="207"/>
      <c r="D29" s="318"/>
      <c r="E29" s="849"/>
      <c r="F29" s="849"/>
      <c r="G29" s="849"/>
      <c r="H29" s="849"/>
      <c r="I29" s="849"/>
      <c r="J29" s="849"/>
      <c r="K29" s="849"/>
      <c r="L29" s="849"/>
      <c r="M29" s="849"/>
      <c r="N29" s="849"/>
      <c r="O29" s="849"/>
      <c r="P29" s="849"/>
      <c r="Q29" s="849"/>
      <c r="R29" s="849"/>
      <c r="S29" s="849"/>
      <c r="T29" s="849"/>
      <c r="U29" s="849"/>
      <c r="V29" s="850"/>
    </row>
    <row r="30" spans="1:22" ht="12.75" customHeight="1" x14ac:dyDescent="0.2">
      <c r="B30" s="186" t="s">
        <v>44</v>
      </c>
      <c r="C30" s="187"/>
      <c r="D30" s="319"/>
      <c r="E30" s="846" t="str">
        <f>IF(Kostenquotenrechner!E30="","",Kostenquotenrechner!E30)</f>
        <v/>
      </c>
      <c r="F30" s="847"/>
      <c r="G30" s="847"/>
      <c r="H30" s="847"/>
      <c r="I30" s="847"/>
      <c r="J30" s="847"/>
      <c r="K30" s="847"/>
      <c r="L30" s="847"/>
      <c r="M30" s="847"/>
      <c r="N30" s="847"/>
      <c r="O30" s="847"/>
      <c r="P30" s="847"/>
      <c r="Q30" s="847"/>
      <c r="R30" s="847"/>
      <c r="S30" s="847"/>
      <c r="T30" s="847"/>
      <c r="U30" s="847"/>
      <c r="V30" s="848"/>
    </row>
    <row r="31" spans="1:22" x14ac:dyDescent="0.2">
      <c r="B31" s="219"/>
      <c r="C31" s="207"/>
      <c r="D31" s="318"/>
      <c r="E31" s="849"/>
      <c r="F31" s="849"/>
      <c r="G31" s="849"/>
      <c r="H31" s="849"/>
      <c r="I31" s="849"/>
      <c r="J31" s="849"/>
      <c r="K31" s="849"/>
      <c r="L31" s="849"/>
      <c r="M31" s="849"/>
      <c r="N31" s="849"/>
      <c r="O31" s="849"/>
      <c r="P31" s="849"/>
      <c r="Q31" s="849"/>
      <c r="R31" s="849"/>
      <c r="S31" s="849"/>
      <c r="T31" s="849"/>
      <c r="U31" s="849"/>
      <c r="V31" s="850"/>
    </row>
    <row r="32" spans="1:22" ht="12.75" customHeight="1" x14ac:dyDescent="0.2">
      <c r="B32" s="186" t="s">
        <v>45</v>
      </c>
      <c r="C32" s="187"/>
      <c r="D32" s="319"/>
      <c r="E32" s="846" t="str">
        <f>IF(Kostenquotenrechner!E32="","",Kostenquotenrechner!E32)</f>
        <v/>
      </c>
      <c r="F32" s="847"/>
      <c r="G32" s="847"/>
      <c r="H32" s="847"/>
      <c r="I32" s="847"/>
      <c r="J32" s="847"/>
      <c r="K32" s="847"/>
      <c r="L32" s="847"/>
      <c r="M32" s="847"/>
      <c r="N32" s="847"/>
      <c r="O32" s="847"/>
      <c r="P32" s="847"/>
      <c r="Q32" s="847"/>
      <c r="R32" s="847"/>
      <c r="S32" s="847"/>
      <c r="T32" s="847"/>
      <c r="U32" s="847"/>
      <c r="V32" s="848"/>
    </row>
    <row r="33" spans="1:26" x14ac:dyDescent="0.2">
      <c r="B33" s="219"/>
      <c r="C33" s="207"/>
      <c r="D33" s="318"/>
      <c r="E33" s="849"/>
      <c r="F33" s="849"/>
      <c r="G33" s="849"/>
      <c r="H33" s="849"/>
      <c r="I33" s="849"/>
      <c r="J33" s="849"/>
      <c r="K33" s="849"/>
      <c r="L33" s="849"/>
      <c r="M33" s="849"/>
      <c r="N33" s="849"/>
      <c r="O33" s="849"/>
      <c r="P33" s="849"/>
      <c r="Q33" s="849"/>
      <c r="R33" s="849"/>
      <c r="S33" s="849"/>
      <c r="T33" s="849"/>
      <c r="U33" s="849"/>
      <c r="V33" s="850"/>
    </row>
    <row r="34" spans="1:26" ht="12.75" customHeight="1" x14ac:dyDescent="0.2">
      <c r="B34" s="186" t="s">
        <v>46</v>
      </c>
      <c r="C34" s="187"/>
      <c r="D34" s="319"/>
      <c r="E34" s="846" t="str">
        <f>IF(Kostenquotenrechner!E34="","",Kostenquotenrechner!E34)</f>
        <v/>
      </c>
      <c r="F34" s="847"/>
      <c r="G34" s="847"/>
      <c r="H34" s="847"/>
      <c r="I34" s="847"/>
      <c r="J34" s="847"/>
      <c r="K34" s="847"/>
      <c r="L34" s="847"/>
      <c r="M34" s="847"/>
      <c r="N34" s="847"/>
      <c r="O34" s="847"/>
      <c r="P34" s="847"/>
      <c r="Q34" s="847"/>
      <c r="R34" s="847"/>
      <c r="S34" s="847"/>
      <c r="T34" s="847"/>
      <c r="U34" s="847"/>
      <c r="V34" s="848"/>
    </row>
    <row r="35" spans="1:26" x14ac:dyDescent="0.2">
      <c r="B35" s="219"/>
      <c r="C35" s="207"/>
      <c r="D35" s="318"/>
      <c r="E35" s="849"/>
      <c r="F35" s="849"/>
      <c r="G35" s="849"/>
      <c r="H35" s="849"/>
      <c r="I35" s="849"/>
      <c r="J35" s="849"/>
      <c r="K35" s="849"/>
      <c r="L35" s="849"/>
      <c r="M35" s="849"/>
      <c r="N35" s="849"/>
      <c r="O35" s="849"/>
      <c r="P35" s="849"/>
      <c r="Q35" s="849"/>
      <c r="R35" s="849"/>
      <c r="S35" s="849"/>
      <c r="T35" s="849"/>
      <c r="U35" s="849"/>
      <c r="V35" s="850"/>
    </row>
    <row r="36" spans="1:26" ht="12.75" customHeight="1" x14ac:dyDescent="0.2">
      <c r="B36" s="186" t="s">
        <v>47</v>
      </c>
      <c r="C36" s="187"/>
      <c r="D36" s="319"/>
      <c r="E36" s="846" t="str">
        <f>IF(Kostenquotenrechner!E36="","",Kostenquotenrechner!E36)</f>
        <v/>
      </c>
      <c r="F36" s="847"/>
      <c r="G36" s="847"/>
      <c r="H36" s="847"/>
      <c r="I36" s="847"/>
      <c r="J36" s="847"/>
      <c r="K36" s="847"/>
      <c r="L36" s="847"/>
      <c r="M36" s="847"/>
      <c r="N36" s="847"/>
      <c r="O36" s="847"/>
      <c r="P36" s="847"/>
      <c r="Q36" s="847"/>
      <c r="R36" s="847"/>
      <c r="S36" s="847"/>
      <c r="T36" s="847"/>
      <c r="U36" s="847"/>
      <c r="V36" s="848"/>
    </row>
    <row r="37" spans="1:26" x14ac:dyDescent="0.2">
      <c r="B37" s="219"/>
      <c r="C37" s="207"/>
      <c r="D37" s="318"/>
      <c r="E37" s="849"/>
      <c r="F37" s="849"/>
      <c r="G37" s="849"/>
      <c r="H37" s="849"/>
      <c r="I37" s="849"/>
      <c r="J37" s="849"/>
      <c r="K37" s="849"/>
      <c r="L37" s="849"/>
      <c r="M37" s="849"/>
      <c r="N37" s="849"/>
      <c r="O37" s="849"/>
      <c r="P37" s="849"/>
      <c r="Q37" s="849"/>
      <c r="R37" s="849"/>
      <c r="S37" s="849"/>
      <c r="T37" s="849"/>
      <c r="U37" s="849"/>
      <c r="V37" s="850"/>
    </row>
    <row r="38" spans="1:26" ht="12.75" customHeight="1" x14ac:dyDescent="0.2">
      <c r="B38" s="186" t="s">
        <v>48</v>
      </c>
      <c r="C38" s="187"/>
      <c r="D38" s="319"/>
      <c r="E38" s="846" t="str">
        <f>IF(Kostenquotenrechner!E38="","",Kostenquotenrechner!E38)</f>
        <v/>
      </c>
      <c r="F38" s="847"/>
      <c r="G38" s="847"/>
      <c r="H38" s="847"/>
      <c r="I38" s="847"/>
      <c r="J38" s="847"/>
      <c r="K38" s="847"/>
      <c r="L38" s="847"/>
      <c r="M38" s="847"/>
      <c r="N38" s="847"/>
      <c r="O38" s="847"/>
      <c r="P38" s="847"/>
      <c r="Q38" s="847"/>
      <c r="R38" s="847"/>
      <c r="S38" s="847"/>
      <c r="T38" s="847"/>
      <c r="U38" s="847"/>
      <c r="V38" s="848"/>
    </row>
    <row r="39" spans="1:26" x14ac:dyDescent="0.2">
      <c r="B39" s="219"/>
      <c r="C39" s="207"/>
      <c r="D39" s="318"/>
      <c r="E39" s="849"/>
      <c r="F39" s="849"/>
      <c r="G39" s="849"/>
      <c r="H39" s="849"/>
      <c r="I39" s="849"/>
      <c r="J39" s="849"/>
      <c r="K39" s="849"/>
      <c r="L39" s="849"/>
      <c r="M39" s="849"/>
      <c r="N39" s="849"/>
      <c r="O39" s="849"/>
      <c r="P39" s="849"/>
      <c r="Q39" s="849"/>
      <c r="R39" s="849"/>
      <c r="S39" s="849"/>
      <c r="T39" s="849"/>
      <c r="U39" s="849"/>
      <c r="V39" s="850"/>
    </row>
    <row r="40" spans="1:26" ht="12.75" customHeight="1" x14ac:dyDescent="0.2">
      <c r="B40" s="186" t="s">
        <v>49</v>
      </c>
      <c r="C40" s="187"/>
      <c r="D40" s="319"/>
      <c r="E40" s="846" t="str">
        <f>IF(Kostenquotenrechner!E40="","",Kostenquotenrechner!E40)</f>
        <v/>
      </c>
      <c r="F40" s="847"/>
      <c r="G40" s="847"/>
      <c r="H40" s="847"/>
      <c r="I40" s="847"/>
      <c r="J40" s="847"/>
      <c r="K40" s="847"/>
      <c r="L40" s="847"/>
      <c r="M40" s="847"/>
      <c r="N40" s="847"/>
      <c r="O40" s="847"/>
      <c r="P40" s="847"/>
      <c r="Q40" s="847"/>
      <c r="R40" s="847"/>
      <c r="S40" s="847"/>
      <c r="T40" s="847"/>
      <c r="U40" s="847"/>
      <c r="V40" s="848"/>
    </row>
    <row r="41" spans="1:26" x14ac:dyDescent="0.2">
      <c r="B41" s="219"/>
      <c r="C41" s="207"/>
      <c r="D41" s="318"/>
      <c r="E41" s="849"/>
      <c r="F41" s="849"/>
      <c r="G41" s="849"/>
      <c r="H41" s="849"/>
      <c r="I41" s="849"/>
      <c r="J41" s="849"/>
      <c r="K41" s="849"/>
      <c r="L41" s="849"/>
      <c r="M41" s="849"/>
      <c r="N41" s="849"/>
      <c r="O41" s="849"/>
      <c r="P41" s="849"/>
      <c r="Q41" s="849"/>
      <c r="R41" s="849"/>
      <c r="S41" s="849"/>
      <c r="T41" s="849"/>
      <c r="U41" s="849"/>
      <c r="V41" s="850"/>
    </row>
    <row r="42" spans="1:26" ht="12.75" customHeight="1" x14ac:dyDescent="0.2">
      <c r="B42" s="314" t="s">
        <v>50</v>
      </c>
      <c r="C42" s="50"/>
      <c r="D42" s="315"/>
      <c r="E42" s="851" t="str">
        <f>IF(Kostenquotenrechner!E42="","",Kostenquotenrechner!E42)</f>
        <v/>
      </c>
      <c r="F42" s="852"/>
      <c r="G42" s="852"/>
      <c r="H42" s="852"/>
      <c r="I42" s="852"/>
      <c r="J42" s="852"/>
      <c r="K42" s="852"/>
      <c r="L42" s="852"/>
      <c r="M42" s="852"/>
      <c r="N42" s="852"/>
      <c r="O42" s="852"/>
      <c r="P42" s="852"/>
      <c r="Q42" s="852"/>
      <c r="R42" s="852"/>
      <c r="S42" s="852"/>
      <c r="T42" s="852"/>
      <c r="U42" s="852"/>
      <c r="V42" s="853"/>
    </row>
    <row r="43" spans="1:26" ht="13.5" thickBot="1" x14ac:dyDescent="0.25">
      <c r="B43" s="148"/>
      <c r="C43" s="194"/>
      <c r="D43" s="320"/>
      <c r="E43" s="854"/>
      <c r="F43" s="854"/>
      <c r="G43" s="854"/>
      <c r="H43" s="854"/>
      <c r="I43" s="854"/>
      <c r="J43" s="854"/>
      <c r="K43" s="854"/>
      <c r="L43" s="854"/>
      <c r="M43" s="854"/>
      <c r="N43" s="854"/>
      <c r="O43" s="854"/>
      <c r="P43" s="854"/>
      <c r="Q43" s="854"/>
      <c r="R43" s="854"/>
      <c r="S43" s="854"/>
      <c r="T43" s="854"/>
      <c r="U43" s="854"/>
      <c r="V43" s="855"/>
    </row>
    <row r="44" spans="1:26" ht="13.5" thickBot="1" x14ac:dyDescent="0.25"/>
    <row r="45" spans="1:26" ht="13.5" thickBot="1" x14ac:dyDescent="0.25">
      <c r="A45" s="142" t="s">
        <v>29</v>
      </c>
      <c r="B45" s="143" t="s">
        <v>567</v>
      </c>
      <c r="C45" s="321"/>
      <c r="D45" s="321"/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1"/>
      <c r="S45" s="321"/>
      <c r="T45" s="321"/>
      <c r="U45" s="321"/>
      <c r="V45" s="321"/>
      <c r="W45" s="321"/>
      <c r="X45" s="321"/>
      <c r="Y45" s="321"/>
      <c r="Z45" s="322"/>
    </row>
    <row r="46" spans="1:26" x14ac:dyDescent="0.2">
      <c r="B46" s="314"/>
      <c r="C46" s="50"/>
      <c r="D46" s="50"/>
      <c r="E46" s="50"/>
      <c r="F46" s="49"/>
      <c r="G46" s="49"/>
      <c r="H46" s="49"/>
      <c r="I46" s="323"/>
      <c r="J46" s="284" t="s">
        <v>458</v>
      </c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324"/>
      <c r="Y46" s="324"/>
      <c r="Z46" s="325"/>
    </row>
    <row r="47" spans="1:26" x14ac:dyDescent="0.2">
      <c r="B47" s="326"/>
      <c r="C47" s="327"/>
      <c r="D47" s="327"/>
      <c r="E47" s="328" t="s">
        <v>440</v>
      </c>
      <c r="F47" s="324"/>
      <c r="G47" s="324"/>
      <c r="H47" s="324"/>
      <c r="I47" s="329"/>
      <c r="J47" s="330" t="s">
        <v>40</v>
      </c>
      <c r="K47" s="324"/>
      <c r="L47" s="324"/>
      <c r="M47" s="329"/>
      <c r="N47" s="331" t="s">
        <v>41</v>
      </c>
      <c r="O47" s="331" t="s">
        <v>69</v>
      </c>
      <c r="P47" s="331" t="s">
        <v>70</v>
      </c>
      <c r="Q47" s="331" t="s">
        <v>475</v>
      </c>
      <c r="R47" s="330" t="s">
        <v>476</v>
      </c>
      <c r="S47" s="324"/>
      <c r="T47" s="324"/>
      <c r="U47" s="329"/>
      <c r="V47" s="331" t="s">
        <v>477</v>
      </c>
      <c r="W47" s="331" t="s">
        <v>478</v>
      </c>
      <c r="X47" s="681" t="s">
        <v>563</v>
      </c>
      <c r="Y47" s="332"/>
      <c r="Z47" s="333"/>
    </row>
    <row r="48" spans="1:26" x14ac:dyDescent="0.2">
      <c r="B48" s="334" t="s">
        <v>40</v>
      </c>
      <c r="C48" s="335"/>
      <c r="D48" s="335"/>
      <c r="E48" s="843">
        <f>Kostenquotenrechner!E48</f>
        <v>0</v>
      </c>
      <c r="F48" s="843"/>
      <c r="G48" s="843"/>
      <c r="H48" s="843"/>
      <c r="I48" s="844"/>
      <c r="J48" s="845">
        <f>Kostenquotenrechner!J48</f>
        <v>0</v>
      </c>
      <c r="K48" s="845"/>
      <c r="L48" s="845"/>
      <c r="M48" s="845"/>
      <c r="N48" s="336"/>
      <c r="O48" s="336"/>
      <c r="P48" s="336"/>
      <c r="Q48" s="336">
        <f>Kostenquotenrechner!Q48</f>
        <v>0</v>
      </c>
      <c r="R48" s="845">
        <f>Kostenquotenrechner!R48</f>
        <v>0</v>
      </c>
      <c r="S48" s="845"/>
      <c r="T48" s="845"/>
      <c r="U48" s="845"/>
      <c r="V48" s="336">
        <f>Kostenquotenrechner!V48</f>
        <v>0</v>
      </c>
      <c r="W48" s="336">
        <f>Kostenquotenrechner!W48</f>
        <v>0</v>
      </c>
      <c r="X48" s="336">
        <f>Kostenquotenrechner!X48</f>
        <v>0</v>
      </c>
      <c r="Y48" s="337"/>
      <c r="Z48" s="338"/>
    </row>
    <row r="49" spans="2:26" x14ac:dyDescent="0.2">
      <c r="B49" s="339" t="s">
        <v>41</v>
      </c>
      <c r="C49" s="297"/>
      <c r="D49" s="297"/>
      <c r="E49" s="837">
        <f>Kostenquotenrechner!E49</f>
        <v>0</v>
      </c>
      <c r="F49" s="837"/>
      <c r="G49" s="837"/>
      <c r="H49" s="837"/>
      <c r="I49" s="838"/>
      <c r="J49" s="839"/>
      <c r="K49" s="839"/>
      <c r="L49" s="839"/>
      <c r="M49" s="839"/>
      <c r="N49" s="278">
        <f>Kostenquotenrechner!N49</f>
        <v>0</v>
      </c>
      <c r="O49" s="278"/>
      <c r="P49" s="278"/>
      <c r="Q49" s="278">
        <f>Kostenquotenrechner!Q49</f>
        <v>0</v>
      </c>
      <c r="R49" s="839">
        <f>Kostenquotenrechner!R49</f>
        <v>0</v>
      </c>
      <c r="S49" s="839"/>
      <c r="T49" s="839"/>
      <c r="U49" s="839"/>
      <c r="V49" s="278">
        <f>Kostenquotenrechner!V49</f>
        <v>0</v>
      </c>
      <c r="W49" s="278">
        <f>Kostenquotenrechner!W49</f>
        <v>0</v>
      </c>
      <c r="X49" s="278">
        <f>Kostenquotenrechner!X49</f>
        <v>0</v>
      </c>
      <c r="Y49" s="337"/>
      <c r="Z49" s="338"/>
    </row>
    <row r="50" spans="2:26" x14ac:dyDescent="0.2">
      <c r="B50" s="339" t="s">
        <v>42</v>
      </c>
      <c r="C50" s="297"/>
      <c r="D50" s="297"/>
      <c r="E50" s="837">
        <f>Kostenquotenrechner!E50</f>
        <v>0</v>
      </c>
      <c r="F50" s="837"/>
      <c r="G50" s="837"/>
      <c r="H50" s="837"/>
      <c r="I50" s="838"/>
      <c r="J50" s="839"/>
      <c r="K50" s="839"/>
      <c r="L50" s="839"/>
      <c r="M50" s="839"/>
      <c r="N50" s="278"/>
      <c r="O50" s="278">
        <f>Kostenquotenrechner!O50</f>
        <v>0</v>
      </c>
      <c r="P50" s="278"/>
      <c r="Q50" s="278">
        <f>Kostenquotenrechner!Q50</f>
        <v>0</v>
      </c>
      <c r="R50" s="839">
        <f>Kostenquotenrechner!R50</f>
        <v>0</v>
      </c>
      <c r="S50" s="839"/>
      <c r="T50" s="839"/>
      <c r="U50" s="839"/>
      <c r="V50" s="278">
        <f>Kostenquotenrechner!V50</f>
        <v>0</v>
      </c>
      <c r="W50" s="278">
        <f>Kostenquotenrechner!W50</f>
        <v>0</v>
      </c>
      <c r="X50" s="278"/>
      <c r="Y50" s="337"/>
      <c r="Z50" s="338"/>
    </row>
    <row r="51" spans="2:26" x14ac:dyDescent="0.2">
      <c r="B51" s="340" t="s">
        <v>42</v>
      </c>
      <c r="C51" s="258"/>
      <c r="D51" s="258"/>
      <c r="E51" s="840">
        <f>Kostenquotenrechner!E51</f>
        <v>0</v>
      </c>
      <c r="F51" s="840"/>
      <c r="G51" s="840"/>
      <c r="H51" s="840"/>
      <c r="I51" s="841"/>
      <c r="J51" s="842"/>
      <c r="K51" s="842"/>
      <c r="L51" s="842"/>
      <c r="M51" s="842"/>
      <c r="N51" s="341"/>
      <c r="O51" s="341"/>
      <c r="P51" s="341">
        <f>Kostenquotenrechner!P51</f>
        <v>0</v>
      </c>
      <c r="Q51" s="341">
        <f>Kostenquotenrechner!Q51</f>
        <v>0</v>
      </c>
      <c r="R51" s="842">
        <f>Kostenquotenrechner!R51</f>
        <v>0</v>
      </c>
      <c r="S51" s="842"/>
      <c r="T51" s="842"/>
      <c r="U51" s="842"/>
      <c r="V51" s="341">
        <f>Kostenquotenrechner!V51</f>
        <v>0</v>
      </c>
      <c r="W51" s="341">
        <f>Kostenquotenrechner!W51</f>
        <v>0</v>
      </c>
      <c r="X51" s="341"/>
      <c r="Y51" s="342"/>
      <c r="Z51" s="343"/>
    </row>
    <row r="52" spans="2:26" x14ac:dyDescent="0.2">
      <c r="B52" s="344"/>
      <c r="C52" s="324"/>
      <c r="D52" s="324"/>
      <c r="E52" s="324"/>
      <c r="F52" s="324"/>
      <c r="G52" s="324"/>
      <c r="H52" s="324"/>
      <c r="I52" s="329"/>
      <c r="J52" s="330" t="s">
        <v>475</v>
      </c>
      <c r="K52" s="324"/>
      <c r="L52" s="324"/>
      <c r="M52" s="329"/>
      <c r="N52" s="331" t="s">
        <v>476</v>
      </c>
      <c r="O52" s="331" t="s">
        <v>477</v>
      </c>
      <c r="P52" s="331" t="s">
        <v>478</v>
      </c>
      <c r="Q52" s="331" t="s">
        <v>40</v>
      </c>
      <c r="R52" s="330" t="s">
        <v>41</v>
      </c>
      <c r="S52" s="324"/>
      <c r="T52" s="324"/>
      <c r="U52" s="329"/>
      <c r="V52" s="331" t="s">
        <v>69</v>
      </c>
      <c r="W52" s="331" t="s">
        <v>70</v>
      </c>
      <c r="X52" s="200" t="s">
        <v>564</v>
      </c>
      <c r="Y52" s="200" t="s">
        <v>565</v>
      </c>
      <c r="Z52" s="201" t="s">
        <v>566</v>
      </c>
    </row>
    <row r="53" spans="2:26" x14ac:dyDescent="0.2">
      <c r="B53" s="334" t="s">
        <v>51</v>
      </c>
      <c r="C53" s="335"/>
      <c r="D53" s="335"/>
      <c r="E53" s="843">
        <f>Kostenquotenrechner!E53</f>
        <v>0</v>
      </c>
      <c r="F53" s="843"/>
      <c r="G53" s="843"/>
      <c r="H53" s="843"/>
      <c r="I53" s="844"/>
      <c r="J53" s="845">
        <f>Kostenquotenrechner!J53</f>
        <v>0</v>
      </c>
      <c r="K53" s="845"/>
      <c r="L53" s="845"/>
      <c r="M53" s="845"/>
      <c r="N53" s="336"/>
      <c r="O53" s="336"/>
      <c r="P53" s="336"/>
      <c r="Q53" s="336">
        <f>Kostenquotenrechner!Q53</f>
        <v>0</v>
      </c>
      <c r="R53" s="845">
        <f>Kostenquotenrechner!R53</f>
        <v>0</v>
      </c>
      <c r="S53" s="845"/>
      <c r="T53" s="845"/>
      <c r="U53" s="845"/>
      <c r="V53" s="336">
        <f>Kostenquotenrechner!V53</f>
        <v>0</v>
      </c>
      <c r="W53" s="336">
        <f>Kostenquotenrechner!W53</f>
        <v>0</v>
      </c>
      <c r="X53" s="336">
        <f>Kostenquotenrechner!X53</f>
        <v>0</v>
      </c>
      <c r="Y53" s="336">
        <f>Kostenquotenrechner!Y53</f>
        <v>0</v>
      </c>
      <c r="Z53" s="345">
        <f>Kostenquotenrechner!Z53</f>
        <v>0</v>
      </c>
    </row>
    <row r="54" spans="2:26" x14ac:dyDescent="0.2">
      <c r="B54" s="339" t="s">
        <v>52</v>
      </c>
      <c r="C54" s="297"/>
      <c r="D54" s="297"/>
      <c r="E54" s="837">
        <f>Kostenquotenrechner!E54</f>
        <v>0</v>
      </c>
      <c r="F54" s="837"/>
      <c r="G54" s="837"/>
      <c r="H54" s="837"/>
      <c r="I54" s="838"/>
      <c r="J54" s="839"/>
      <c r="K54" s="839"/>
      <c r="L54" s="839"/>
      <c r="M54" s="839"/>
      <c r="N54" s="278">
        <f>Kostenquotenrechner!N54</f>
        <v>0</v>
      </c>
      <c r="O54" s="278"/>
      <c r="P54" s="278"/>
      <c r="Q54" s="278">
        <f>Kostenquotenrechner!Q54</f>
        <v>0</v>
      </c>
      <c r="R54" s="839">
        <f>Kostenquotenrechner!R54</f>
        <v>0</v>
      </c>
      <c r="S54" s="839"/>
      <c r="T54" s="839"/>
      <c r="U54" s="839"/>
      <c r="V54" s="278">
        <f>Kostenquotenrechner!V54</f>
        <v>0</v>
      </c>
      <c r="W54" s="278">
        <f>Kostenquotenrechner!W54</f>
        <v>0</v>
      </c>
      <c r="X54" s="278">
        <f>Kostenquotenrechner!X54</f>
        <v>0</v>
      </c>
      <c r="Y54" s="278">
        <f>Kostenquotenrechner!Y54</f>
        <v>0</v>
      </c>
      <c r="Z54" s="346">
        <f>Kostenquotenrechner!Z54</f>
        <v>0</v>
      </c>
    </row>
    <row r="55" spans="2:26" x14ac:dyDescent="0.2">
      <c r="B55" s="339" t="s">
        <v>53</v>
      </c>
      <c r="C55" s="297"/>
      <c r="D55" s="297"/>
      <c r="E55" s="837">
        <f>Kostenquotenrechner!E55</f>
        <v>0</v>
      </c>
      <c r="F55" s="837"/>
      <c r="G55" s="837"/>
      <c r="H55" s="837"/>
      <c r="I55" s="838"/>
      <c r="J55" s="839"/>
      <c r="K55" s="839"/>
      <c r="L55" s="839"/>
      <c r="M55" s="839"/>
      <c r="N55" s="278"/>
      <c r="O55" s="278">
        <f>Kostenquotenrechner!O55</f>
        <v>0</v>
      </c>
      <c r="P55" s="278"/>
      <c r="Q55" s="278">
        <f>Kostenquotenrechner!Q55</f>
        <v>0</v>
      </c>
      <c r="R55" s="839">
        <f>Kostenquotenrechner!R55</f>
        <v>0</v>
      </c>
      <c r="S55" s="839"/>
      <c r="T55" s="839"/>
      <c r="U55" s="839"/>
      <c r="V55" s="278">
        <f>Kostenquotenrechner!V55</f>
        <v>0</v>
      </c>
      <c r="W55" s="278">
        <f>Kostenquotenrechner!W55</f>
        <v>0</v>
      </c>
      <c r="X55" s="278">
        <f>Kostenquotenrechner!X55</f>
        <v>0</v>
      </c>
      <c r="Y55" s="278">
        <f>Kostenquotenrechner!Y55</f>
        <v>0</v>
      </c>
      <c r="Z55" s="346">
        <f>Kostenquotenrechner!Z55</f>
        <v>0</v>
      </c>
    </row>
    <row r="56" spans="2:26" ht="13.5" thickBot="1" x14ac:dyDescent="0.25">
      <c r="B56" s="347" t="s">
        <v>54</v>
      </c>
      <c r="C56" s="295"/>
      <c r="D56" s="295"/>
      <c r="E56" s="834">
        <f>Kostenquotenrechner!E56</f>
        <v>0</v>
      </c>
      <c r="F56" s="834"/>
      <c r="G56" s="834"/>
      <c r="H56" s="834"/>
      <c r="I56" s="835"/>
      <c r="J56" s="836"/>
      <c r="K56" s="836"/>
      <c r="L56" s="836"/>
      <c r="M56" s="836"/>
      <c r="N56" s="296"/>
      <c r="O56" s="296"/>
      <c r="P56" s="296">
        <f>Kostenquotenrechner!P56</f>
        <v>0</v>
      </c>
      <c r="Q56" s="296">
        <f>Kostenquotenrechner!Q56</f>
        <v>0</v>
      </c>
      <c r="R56" s="836">
        <f>Kostenquotenrechner!R56</f>
        <v>0</v>
      </c>
      <c r="S56" s="836"/>
      <c r="T56" s="836"/>
      <c r="U56" s="836"/>
      <c r="V56" s="296">
        <f>Kostenquotenrechner!V56</f>
        <v>0</v>
      </c>
      <c r="W56" s="296">
        <f>Kostenquotenrechner!W56</f>
        <v>0</v>
      </c>
      <c r="X56" s="296">
        <f>Kostenquotenrechner!X56</f>
        <v>0</v>
      </c>
      <c r="Y56" s="296">
        <f>Kostenquotenrechner!Y56</f>
        <v>0</v>
      </c>
      <c r="Z56" s="348">
        <f>Kostenquotenrechner!Z56</f>
        <v>0</v>
      </c>
    </row>
    <row r="58" spans="2:26" x14ac:dyDescent="0.2">
      <c r="B58" s="282" t="str">
        <f>Übersicht!A30</f>
        <v>Haftungsausschluss</v>
      </c>
    </row>
    <row r="59" spans="2:26" x14ac:dyDescent="0.2">
      <c r="B59" s="58" t="str">
        <f>Übersicht!A31</f>
        <v>Für die Richtigkeit der rechtlichen Bewertungen und der Berechnungsergebnisse besteht trotz sorgfältiger Bearbeitung und Prüfung keine Gewähr.</v>
      </c>
    </row>
    <row r="61" spans="2:26" x14ac:dyDescent="0.2">
      <c r="B61" s="137" t="str">
        <f>Übersicht!A44</f>
        <v>Rechtsgrundlagen</v>
      </c>
    </row>
    <row r="62" spans="2:26" x14ac:dyDescent="0.2">
      <c r="B62" s="138" t="str">
        <f>Übersicht!A55</f>
        <v>ZPO: Zivilprozessordnung, zuletzt geändert durch Gesetz vom 20.05.2026 (BGBl. I Nr. 152)</v>
      </c>
    </row>
    <row r="64" spans="2:26" x14ac:dyDescent="0.2">
      <c r="B64" s="138" t="str">
        <f>Übersicht!A70</f>
        <v>www.zivilprozessrechner.de</v>
      </c>
    </row>
  </sheetData>
  <sheetProtection sheet="1" objects="1" scenarios="1"/>
  <mergeCells count="38">
    <mergeCell ref="Y1:Z1"/>
    <mergeCell ref="Y2:Z2"/>
    <mergeCell ref="E28:V29"/>
    <mergeCell ref="E30:V31"/>
    <mergeCell ref="E34:V35"/>
    <mergeCell ref="E32:V33"/>
    <mergeCell ref="F4:G4"/>
    <mergeCell ref="N4:P4"/>
    <mergeCell ref="N16:P16"/>
    <mergeCell ref="E24:V26"/>
    <mergeCell ref="E36:V37"/>
    <mergeCell ref="E48:I48"/>
    <mergeCell ref="J48:M48"/>
    <mergeCell ref="R48:U48"/>
    <mergeCell ref="E38:V39"/>
    <mergeCell ref="E40:V41"/>
    <mergeCell ref="E42:V43"/>
    <mergeCell ref="E49:I49"/>
    <mergeCell ref="J49:M49"/>
    <mergeCell ref="R49:U49"/>
    <mergeCell ref="E50:I50"/>
    <mergeCell ref="J50:M50"/>
    <mergeCell ref="R50:U50"/>
    <mergeCell ref="E51:I51"/>
    <mergeCell ref="J51:M51"/>
    <mergeCell ref="R51:U51"/>
    <mergeCell ref="E53:I53"/>
    <mergeCell ref="J53:M53"/>
    <mergeCell ref="R53:U53"/>
    <mergeCell ref="E56:I56"/>
    <mergeCell ref="J56:M56"/>
    <mergeCell ref="R56:U56"/>
    <mergeCell ref="E54:I54"/>
    <mergeCell ref="J54:M54"/>
    <mergeCell ref="R54:U54"/>
    <mergeCell ref="E55:I55"/>
    <mergeCell ref="J55:M55"/>
    <mergeCell ref="R55:U55"/>
  </mergeCells>
  <phoneticPr fontId="0" type="noConversion"/>
  <dataValidations count="1">
    <dataValidation operator="greaterThanOrEqual" allowBlank="1" showInputMessage="1" showErrorMessage="1" errorTitle="Ungültiger Eingabewert" error="Dieses Feld erlaubt nur die Eingabe eines positiven Betrages." sqref="Q1:V2 Q4:V65536 W1:IV1048576 C1:P1048576 B65:B65536 B1:B57 B60:B63" xr:uid="{00000000-0002-0000-0700-000000000000}"/>
  </dataValidations>
  <pageMargins left="0.59055118110236227" right="0.59055118110236227" top="0.98425196850393704" bottom="0.59055118110236227" header="0.51181102362204722" footer="0.51181102362204722"/>
  <pageSetup paperSize="9" scale="5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pageSetUpPr fitToPage="1"/>
  </sheetPr>
  <dimension ref="A1:H96"/>
  <sheetViews>
    <sheetView workbookViewId="0">
      <selection activeCell="B1" sqref="B1"/>
    </sheetView>
  </sheetViews>
  <sheetFormatPr baseColWidth="10" defaultColWidth="11.42578125" defaultRowHeight="12.75" x14ac:dyDescent="0.2"/>
  <cols>
    <col min="1" max="1" width="2.7109375" style="136" customWidth="1"/>
    <col min="2" max="2" width="50.85546875" style="481" customWidth="1"/>
    <col min="3" max="3" width="5" style="136" customWidth="1"/>
    <col min="4" max="7" width="14" style="136" customWidth="1"/>
    <col min="8" max="8" width="41.7109375" style="136" customWidth="1"/>
    <col min="9" max="16384" width="11.42578125" style="136"/>
  </cols>
  <sheetData>
    <row r="1" spans="1:8" x14ac:dyDescent="0.2">
      <c r="B1" s="137" t="str">
        <f>Übersicht!A1&amp;" – PKH-VKH-Rechner"</f>
        <v>Zivilprozessrechner v2.42 – PKH-VKH-Rechner</v>
      </c>
    </row>
    <row r="2" spans="1:8" ht="13.5" thickBot="1" x14ac:dyDescent="0.25">
      <c r="B2" s="409"/>
    </row>
    <row r="3" spans="1:8" ht="13.5" thickBot="1" x14ac:dyDescent="0.25">
      <c r="A3" s="142" t="s">
        <v>360</v>
      </c>
      <c r="B3" s="410" t="s">
        <v>383</v>
      </c>
      <c r="C3" s="411"/>
      <c r="D3" s="412" t="str">
        <f>IF('PKH-VKH-Rechner'!D4="","",'PKH-VKH-Rechner'!D4)</f>
        <v>erste Instanz</v>
      </c>
      <c r="E3" s="138"/>
      <c r="F3" s="138"/>
      <c r="G3" s="145" t="s">
        <v>385</v>
      </c>
      <c r="H3" s="413" t="str">
        <f>IF('PKH-VKH-Rechner'!H4="","",'PKH-VKH-Rechner'!H4)</f>
        <v>... . .../..</v>
      </c>
    </row>
    <row r="4" spans="1:8" ht="13.5" thickBot="1" x14ac:dyDescent="0.25">
      <c r="A4" s="49"/>
      <c r="B4" s="414" t="s">
        <v>484</v>
      </c>
      <c r="C4" s="415"/>
      <c r="D4" s="416" t="str">
        <f>IF('PKH-VKH-Rechner'!D5="","",'PKH-VKH-Rechner'!D5)</f>
        <v>ab 01.01.2014</v>
      </c>
      <c r="E4" s="138"/>
      <c r="F4" s="138"/>
      <c r="G4" s="285" t="s">
        <v>386</v>
      </c>
      <c r="H4" s="417">
        <f ca="1">TODAY()</f>
        <v>46203</v>
      </c>
    </row>
    <row r="5" spans="1:8" ht="13.5" thickBot="1" x14ac:dyDescent="0.25">
      <c r="A5" s="49"/>
      <c r="B5" s="418" t="s">
        <v>750</v>
      </c>
      <c r="C5" s="419"/>
      <c r="D5" s="420" t="str">
        <f>IF('PKH-VKH-Rechner'!D6="","",'PKH-VKH-Rechner'!D6)</f>
        <v>heute</v>
      </c>
      <c r="E5" s="138"/>
      <c r="F5" s="138"/>
      <c r="G5" s="50"/>
      <c r="H5" s="153"/>
    </row>
    <row r="6" spans="1:8" ht="13.5" thickBot="1" x14ac:dyDescent="0.25">
      <c r="B6" s="409"/>
      <c r="C6" s="138"/>
      <c r="D6" s="138"/>
      <c r="E6" s="138"/>
      <c r="F6" s="138"/>
      <c r="G6" s="138"/>
      <c r="H6" s="138"/>
    </row>
    <row r="7" spans="1:8" x14ac:dyDescent="0.2">
      <c r="A7" s="421" t="s">
        <v>28</v>
      </c>
      <c r="B7" s="422" t="s">
        <v>492</v>
      </c>
      <c r="C7" s="286"/>
      <c r="D7" s="286"/>
      <c r="E7" s="286"/>
      <c r="F7" s="716"/>
      <c r="G7" s="239" t="s">
        <v>691</v>
      </c>
      <c r="H7" s="240" t="s">
        <v>397</v>
      </c>
    </row>
    <row r="8" spans="1:8" ht="13.5" thickBot="1" x14ac:dyDescent="0.25">
      <c r="A8" s="423" t="s">
        <v>323</v>
      </c>
      <c r="B8" s="424" t="s">
        <v>690</v>
      </c>
      <c r="C8" s="773" t="str">
        <f>IF('PKH-VKH-Rechner'!P9=TRUE,"ja","nein")</f>
        <v>nein</v>
      </c>
      <c r="D8" s="777"/>
      <c r="E8" s="177"/>
      <c r="F8" s="177"/>
      <c r="G8" s="779" t="str">
        <f ca="1">IF('PKH-VKH-Rechner'!G9="","",'PKH-VKH-Rechner'!G9)</f>
        <v/>
      </c>
      <c r="H8" s="425" t="str">
        <f>IF('PKH-VKH-Rechner'!H9="","",'PKH-VKH-Rechner'!H9)</f>
        <v/>
      </c>
    </row>
    <row r="9" spans="1:8" x14ac:dyDescent="0.2">
      <c r="A9" s="333"/>
      <c r="B9" s="463" t="s">
        <v>426</v>
      </c>
      <c r="C9" s="772"/>
      <c r="D9" s="50"/>
      <c r="E9" s="187"/>
      <c r="F9" s="182"/>
      <c r="G9" s="207"/>
      <c r="H9" s="761"/>
    </row>
    <row r="10" spans="1:8" ht="13.5" thickBot="1" x14ac:dyDescent="0.25">
      <c r="A10" s="374"/>
      <c r="B10" s="426" t="s">
        <v>778</v>
      </c>
      <c r="C10" s="757"/>
      <c r="D10" s="867" t="str">
        <f>IF('PKH-VKH-Rechner'!D11="","",'PKH-VKH-Rechner'!D11)</f>
        <v>übriges Bundesgebiet</v>
      </c>
      <c r="E10" s="868"/>
      <c r="F10" s="50"/>
      <c r="G10" s="50"/>
      <c r="H10" s="758"/>
    </row>
    <row r="11" spans="1:8" x14ac:dyDescent="0.2">
      <c r="A11" s="421" t="s">
        <v>324</v>
      </c>
      <c r="B11" s="428" t="s">
        <v>689</v>
      </c>
      <c r="C11" s="875" t="str">
        <f>IF('PKH-VKH-Rechner'!C12="","",'PKH-VKH-Rechner'!C12)</f>
        <v>nein</v>
      </c>
      <c r="D11" s="876" t="str">
        <f>IF('PKH-VKH-Rechner'!D12="","",'PKH-VKH-Rechner'!D12)</f>
        <v/>
      </c>
      <c r="E11" s="429" t="str">
        <f>IF('PKH-VKH-Rechner'!E12="","",'PKH-VKH-Rechner'!E12)</f>
        <v/>
      </c>
      <c r="F11" s="736"/>
      <c r="G11" s="718"/>
      <c r="H11" s="427" t="str">
        <f>IF('PKH-VKH-Rechner'!H12="","",'PKH-VKH-Rechner'!H12)</f>
        <v/>
      </c>
    </row>
    <row r="12" spans="1:8" x14ac:dyDescent="0.2">
      <c r="A12" s="430" t="s">
        <v>325</v>
      </c>
      <c r="B12" s="717" t="s">
        <v>687</v>
      </c>
      <c r="C12" s="198"/>
      <c r="D12" s="198"/>
      <c r="E12" s="198"/>
      <c r="F12" s="198"/>
      <c r="G12" s="198"/>
      <c r="H12" s="427" t="str">
        <f>IF('PKH-VKH-Rechner'!H13="","",'PKH-VKH-Rechner'!H13)</f>
        <v/>
      </c>
    </row>
    <row r="13" spans="1:8" ht="13.5" thickBot="1" x14ac:dyDescent="0.25">
      <c r="A13" s="431" t="s">
        <v>326</v>
      </c>
      <c r="B13" s="432" t="s">
        <v>688</v>
      </c>
      <c r="C13" s="198"/>
      <c r="D13" s="200" t="s">
        <v>493</v>
      </c>
      <c r="E13" s="200" t="s">
        <v>5</v>
      </c>
      <c r="F13" s="741" t="s">
        <v>692</v>
      </c>
      <c r="G13" s="741" t="s">
        <v>691</v>
      </c>
      <c r="H13" s="228"/>
    </row>
    <row r="14" spans="1:8" x14ac:dyDescent="0.2">
      <c r="A14" s="433"/>
      <c r="B14" s="434" t="s">
        <v>128</v>
      </c>
      <c r="C14" s="435" t="str">
        <f>IF('PKH-VKH-Rechner'!P15=TRUE,"ja","nein")</f>
        <v>nein</v>
      </c>
      <c r="D14" s="317"/>
      <c r="E14" s="208" t="str">
        <f>IF('PKH-VKH-Rechner'!E15="","",'PKH-VKH-Rechner'!E15)</f>
        <v/>
      </c>
      <c r="F14" s="160" t="s">
        <v>487</v>
      </c>
      <c r="G14" s="204" t="str">
        <f ca="1">IF('PKH-VKH-Rechner'!G15="","",'PKH-VKH-Rechner'!G15)</f>
        <v/>
      </c>
      <c r="H14" s="436" t="str">
        <f>IF('PKH-VKH-Rechner'!H15="","",'PKH-VKH-Rechner'!H15)</f>
        <v/>
      </c>
    </row>
    <row r="15" spans="1:8" x14ac:dyDescent="0.2">
      <c r="A15" s="333"/>
      <c r="B15" s="437" t="str">
        <f>IF('PKH-VKH-Rechner'!B16="","",'PKH-VKH-Rechner'!B16)</f>
        <v/>
      </c>
      <c r="C15" s="438" t="str">
        <f>IF('PKH-VKH-Rechner'!P16=TRUE,"ja","nein")</f>
        <v>nein</v>
      </c>
      <c r="D15" s="439" t="str">
        <f>IF('PKH-VKH-Rechner'!D16="","",'PKH-VKH-Rechner'!D16)</f>
        <v/>
      </c>
      <c r="E15" s="208" t="str">
        <f>IF('PKH-VKH-Rechner'!E16="","",'PKH-VKH-Rechner'!E16)</f>
        <v/>
      </c>
      <c r="F15" s="179" t="str">
        <f>IF('PKH-VKH-Rechner'!F16="","",'PKH-VKH-Rechner'!F16)</f>
        <v/>
      </c>
      <c r="G15" s="222" t="str">
        <f ca="1">IF('PKH-VKH-Rechner'!G16="","",'PKH-VKH-Rechner'!G16)</f>
        <v/>
      </c>
      <c r="H15" s="440" t="str">
        <f>IF('PKH-VKH-Rechner'!H16="","",'PKH-VKH-Rechner'!H16)</f>
        <v/>
      </c>
    </row>
    <row r="16" spans="1:8" x14ac:dyDescent="0.2">
      <c r="A16" s="333"/>
      <c r="B16" s="437" t="str">
        <f>IF('PKH-VKH-Rechner'!B17="","",'PKH-VKH-Rechner'!B17)</f>
        <v/>
      </c>
      <c r="C16" s="441" t="str">
        <f>IF('PKH-VKH-Rechner'!P17=TRUE,"ja","nein")</f>
        <v>nein</v>
      </c>
      <c r="D16" s="442" t="str">
        <f>IF('PKH-VKH-Rechner'!D17="","",'PKH-VKH-Rechner'!D17)</f>
        <v/>
      </c>
      <c r="E16" s="184" t="str">
        <f>IF('PKH-VKH-Rechner'!E17="","",'PKH-VKH-Rechner'!E17)</f>
        <v/>
      </c>
      <c r="F16" s="184" t="str">
        <f>IF('PKH-VKH-Rechner'!F17="","",'PKH-VKH-Rechner'!F17)</f>
        <v/>
      </c>
      <c r="G16" s="222" t="str">
        <f ca="1">IF('PKH-VKH-Rechner'!G17="","",'PKH-VKH-Rechner'!G17)</f>
        <v/>
      </c>
      <c r="H16" s="440" t="str">
        <f>IF('PKH-VKH-Rechner'!H17="","",'PKH-VKH-Rechner'!H17)</f>
        <v/>
      </c>
    </row>
    <row r="17" spans="1:8" x14ac:dyDescent="0.2">
      <c r="A17" s="333"/>
      <c r="B17" s="437" t="str">
        <f>IF('PKH-VKH-Rechner'!B18="","",'PKH-VKH-Rechner'!B18)</f>
        <v/>
      </c>
      <c r="C17" s="441" t="str">
        <f>IF('PKH-VKH-Rechner'!P18=TRUE,"ja","nein")</f>
        <v>nein</v>
      </c>
      <c r="D17" s="442" t="str">
        <f>IF('PKH-VKH-Rechner'!D18="","",'PKH-VKH-Rechner'!D18)</f>
        <v/>
      </c>
      <c r="E17" s="184" t="str">
        <f>IF('PKH-VKH-Rechner'!E18="","",'PKH-VKH-Rechner'!E18)</f>
        <v/>
      </c>
      <c r="F17" s="184" t="str">
        <f>IF('PKH-VKH-Rechner'!F18="","",'PKH-VKH-Rechner'!F18)</f>
        <v/>
      </c>
      <c r="G17" s="222" t="str">
        <f ca="1">IF('PKH-VKH-Rechner'!G18="","",'PKH-VKH-Rechner'!G18)</f>
        <v/>
      </c>
      <c r="H17" s="440" t="str">
        <f>IF('PKH-VKH-Rechner'!H18="","",'PKH-VKH-Rechner'!H18)</f>
        <v/>
      </c>
    </row>
    <row r="18" spans="1:8" x14ac:dyDescent="0.2">
      <c r="A18" s="333"/>
      <c r="B18" s="437" t="str">
        <f>IF('PKH-VKH-Rechner'!B19="","",'PKH-VKH-Rechner'!B19)</f>
        <v/>
      </c>
      <c r="C18" s="441" t="str">
        <f>IF('PKH-VKH-Rechner'!P19=TRUE,"ja","nein")</f>
        <v>nein</v>
      </c>
      <c r="D18" s="442" t="str">
        <f>IF('PKH-VKH-Rechner'!D19="","",'PKH-VKH-Rechner'!D19)</f>
        <v/>
      </c>
      <c r="E18" s="184" t="str">
        <f>IF('PKH-VKH-Rechner'!E19="","",'PKH-VKH-Rechner'!E19)</f>
        <v/>
      </c>
      <c r="F18" s="184" t="str">
        <f>IF('PKH-VKH-Rechner'!F19="","",'PKH-VKH-Rechner'!F19)</f>
        <v/>
      </c>
      <c r="G18" s="222" t="str">
        <f ca="1">IF('PKH-VKH-Rechner'!G19="","",'PKH-VKH-Rechner'!G19)</f>
        <v/>
      </c>
      <c r="H18" s="440" t="str">
        <f>IF('PKH-VKH-Rechner'!H19="","",'PKH-VKH-Rechner'!H19)</f>
        <v/>
      </c>
    </row>
    <row r="19" spans="1:8" ht="13.5" thickBot="1" x14ac:dyDescent="0.25">
      <c r="A19" s="333"/>
      <c r="B19" s="437" t="str">
        <f>IF('PKH-VKH-Rechner'!B20="","",'PKH-VKH-Rechner'!B20)</f>
        <v/>
      </c>
      <c r="C19" s="443" t="str">
        <f>IF('PKH-VKH-Rechner'!P20=TRUE,"ja","nein")</f>
        <v>nein</v>
      </c>
      <c r="D19" s="444" t="str">
        <f>IF('PKH-VKH-Rechner'!D20="","",'PKH-VKH-Rechner'!D20)</f>
        <v/>
      </c>
      <c r="E19" s="175" t="str">
        <f>IF('PKH-VKH-Rechner'!E20="","",'PKH-VKH-Rechner'!E20)</f>
        <v/>
      </c>
      <c r="F19" s="175" t="str">
        <f>IF('PKH-VKH-Rechner'!F20="","",'PKH-VKH-Rechner'!F20)</f>
        <v/>
      </c>
      <c r="G19" s="232" t="str">
        <f ca="1">IF('PKH-VKH-Rechner'!G20="","",'PKH-VKH-Rechner'!G20)</f>
        <v/>
      </c>
      <c r="H19" s="445" t="str">
        <f>IF('PKH-VKH-Rechner'!H20="","",'PKH-VKH-Rechner'!H20)</f>
        <v/>
      </c>
    </row>
    <row r="20" spans="1:8" ht="13.5" thickBot="1" x14ac:dyDescent="0.25">
      <c r="A20" s="142" t="s">
        <v>330</v>
      </c>
      <c r="B20" s="432" t="s">
        <v>84</v>
      </c>
      <c r="C20" s="198"/>
      <c r="D20" s="200" t="s">
        <v>341</v>
      </c>
      <c r="E20" s="200" t="s">
        <v>77</v>
      </c>
      <c r="F20" s="198"/>
      <c r="G20" s="198"/>
      <c r="H20" s="161"/>
    </row>
    <row r="21" spans="1:8" x14ac:dyDescent="0.2">
      <c r="A21" s="378"/>
      <c r="B21" s="446" t="s">
        <v>343</v>
      </c>
      <c r="C21" s="177"/>
      <c r="D21" s="179" t="str">
        <f>IF('PKH-VKH-Rechner'!D22="","",'PKH-VKH-Rechner'!D22)</f>
        <v/>
      </c>
      <c r="E21" s="292" t="str">
        <f>IF('PKH-VKH-Rechner'!E22="","",'PKH-VKH-Rechner'!E22)</f>
        <v/>
      </c>
      <c r="F21" s="731"/>
      <c r="G21" s="177"/>
      <c r="H21" s="436" t="str">
        <f>IF('PKH-VKH-Rechner'!H22="","",'PKH-VKH-Rechner'!H22)</f>
        <v/>
      </c>
    </row>
    <row r="22" spans="1:8" x14ac:dyDescent="0.2">
      <c r="A22" s="333"/>
      <c r="B22" s="447" t="s">
        <v>344</v>
      </c>
      <c r="C22" s="182"/>
      <c r="D22" s="184" t="str">
        <f>IF('PKH-VKH-Rechner'!D23="","",'PKH-VKH-Rechner'!D23)</f>
        <v/>
      </c>
      <c r="E22" s="298" t="str">
        <f>IF('PKH-VKH-Rechner'!E23="","",'PKH-VKH-Rechner'!E23)</f>
        <v/>
      </c>
      <c r="F22" s="732"/>
      <c r="G22" s="182"/>
      <c r="H22" s="440" t="str">
        <f>IF('PKH-VKH-Rechner'!H23="","",'PKH-VKH-Rechner'!H23)</f>
        <v/>
      </c>
    </row>
    <row r="23" spans="1:8" x14ac:dyDescent="0.2">
      <c r="A23" s="333"/>
      <c r="B23" s="447" t="s">
        <v>347</v>
      </c>
      <c r="C23" s="182"/>
      <c r="D23" s="184" t="str">
        <f>IF('PKH-VKH-Rechner'!D24="","",'PKH-VKH-Rechner'!D24)</f>
        <v/>
      </c>
      <c r="E23" s="298" t="str">
        <f>IF('PKH-VKH-Rechner'!E24="","",'PKH-VKH-Rechner'!E24)</f>
        <v/>
      </c>
      <c r="F23" s="732"/>
      <c r="G23" s="182"/>
      <c r="H23" s="440" t="str">
        <f>IF('PKH-VKH-Rechner'!H24="","",'PKH-VKH-Rechner'!H24)</f>
        <v/>
      </c>
    </row>
    <row r="24" spans="1:8" x14ac:dyDescent="0.2">
      <c r="A24" s="333"/>
      <c r="B24" s="447" t="s">
        <v>348</v>
      </c>
      <c r="C24" s="182"/>
      <c r="D24" s="184" t="str">
        <f>IF('PKH-VKH-Rechner'!D25="","",'PKH-VKH-Rechner'!D25)</f>
        <v/>
      </c>
      <c r="E24" s="298" t="str">
        <f>IF('PKH-VKH-Rechner'!E25="","",'PKH-VKH-Rechner'!E25)</f>
        <v/>
      </c>
      <c r="F24" s="732"/>
      <c r="G24" s="182"/>
      <c r="H24" s="440" t="str">
        <f>IF('PKH-VKH-Rechner'!H25="","",'PKH-VKH-Rechner'!H25)</f>
        <v/>
      </c>
    </row>
    <row r="25" spans="1:8" x14ac:dyDescent="0.2">
      <c r="A25" s="333"/>
      <c r="B25" s="447" t="s">
        <v>514</v>
      </c>
      <c r="C25" s="182"/>
      <c r="D25" s="184" t="str">
        <f>IF('PKH-VKH-Rechner'!D26="","",'PKH-VKH-Rechner'!D26)</f>
        <v/>
      </c>
      <c r="E25" s="298" t="str">
        <f>IF('PKH-VKH-Rechner'!E26="","",'PKH-VKH-Rechner'!E26)</f>
        <v/>
      </c>
      <c r="F25" s="732"/>
      <c r="G25" s="182"/>
      <c r="H25" s="440" t="str">
        <f>IF('PKH-VKH-Rechner'!H26="","",'PKH-VKH-Rechner'!H26)</f>
        <v/>
      </c>
    </row>
    <row r="26" spans="1:8" x14ac:dyDescent="0.2">
      <c r="A26" s="333"/>
      <c r="B26" s="447" t="s">
        <v>349</v>
      </c>
      <c r="C26" s="182"/>
      <c r="D26" s="184" t="str">
        <f>IF('PKH-VKH-Rechner'!D27="","",'PKH-VKH-Rechner'!D27)</f>
        <v/>
      </c>
      <c r="E26" s="298" t="str">
        <f>IF('PKH-VKH-Rechner'!E27="","",'PKH-VKH-Rechner'!E27)</f>
        <v/>
      </c>
      <c r="F26" s="732"/>
      <c r="G26" s="182"/>
      <c r="H26" s="440" t="str">
        <f>IF('PKH-VKH-Rechner'!H27="","",'PKH-VKH-Rechner'!H27)</f>
        <v/>
      </c>
    </row>
    <row r="27" spans="1:8" x14ac:dyDescent="0.2">
      <c r="A27" s="333"/>
      <c r="B27" s="447" t="s">
        <v>80</v>
      </c>
      <c r="C27" s="182"/>
      <c r="D27" s="184" t="str">
        <f>IF('PKH-VKH-Rechner'!D28="","",'PKH-VKH-Rechner'!D28)</f>
        <v/>
      </c>
      <c r="E27" s="298" t="str">
        <f>IF('PKH-VKH-Rechner'!E28="","",'PKH-VKH-Rechner'!E28)</f>
        <v/>
      </c>
      <c r="F27" s="732"/>
      <c r="G27" s="182"/>
      <c r="H27" s="440" t="str">
        <f>IF('PKH-VKH-Rechner'!H28="","",'PKH-VKH-Rechner'!H28)</f>
        <v/>
      </c>
    </row>
    <row r="28" spans="1:8" x14ac:dyDescent="0.2">
      <c r="A28" s="333"/>
      <c r="B28" s="447" t="s">
        <v>515</v>
      </c>
      <c r="C28" s="182"/>
      <c r="D28" s="184" t="str">
        <f>IF('PKH-VKH-Rechner'!D29="","",'PKH-VKH-Rechner'!D29)</f>
        <v/>
      </c>
      <c r="E28" s="298" t="str">
        <f>IF('PKH-VKH-Rechner'!E29="","",'PKH-VKH-Rechner'!E29)</f>
        <v/>
      </c>
      <c r="F28" s="732"/>
      <c r="G28" s="182"/>
      <c r="H28" s="440" t="str">
        <f>IF('PKH-VKH-Rechner'!H29="","",'PKH-VKH-Rechner'!H29)</f>
        <v/>
      </c>
    </row>
    <row r="29" spans="1:8" x14ac:dyDescent="0.2">
      <c r="A29" s="333"/>
      <c r="B29" s="447" t="s">
        <v>516</v>
      </c>
      <c r="C29" s="182"/>
      <c r="D29" s="184" t="str">
        <f>IF('PKH-VKH-Rechner'!D30="","",'PKH-VKH-Rechner'!D30)</f>
        <v/>
      </c>
      <c r="E29" s="298" t="str">
        <f>IF('PKH-VKH-Rechner'!E30="","",'PKH-VKH-Rechner'!E30)</f>
        <v/>
      </c>
      <c r="F29" s="732"/>
      <c r="G29" s="182"/>
      <c r="H29" s="440" t="str">
        <f>IF('PKH-VKH-Rechner'!H30="","",'PKH-VKH-Rechner'!H30)</f>
        <v/>
      </c>
    </row>
    <row r="30" spans="1:8" x14ac:dyDescent="0.2">
      <c r="A30" s="333"/>
      <c r="B30" s="447" t="s">
        <v>81</v>
      </c>
      <c r="C30" s="182"/>
      <c r="D30" s="184" t="str">
        <f>IF('PKH-VKH-Rechner'!D31="","",'PKH-VKH-Rechner'!D31)</f>
        <v/>
      </c>
      <c r="E30" s="298" t="str">
        <f>IF('PKH-VKH-Rechner'!E31="","",'PKH-VKH-Rechner'!E31)</f>
        <v/>
      </c>
      <c r="F30" s="732"/>
      <c r="G30" s="182"/>
      <c r="H30" s="440" t="str">
        <f>IF('PKH-VKH-Rechner'!H31="","",'PKH-VKH-Rechner'!H31)</f>
        <v/>
      </c>
    </row>
    <row r="31" spans="1:8" x14ac:dyDescent="0.2">
      <c r="A31" s="333"/>
      <c r="B31" s="447" t="s">
        <v>82</v>
      </c>
      <c r="C31" s="182"/>
      <c r="D31" s="184" t="str">
        <f>IF('PKH-VKH-Rechner'!D32="","",'PKH-VKH-Rechner'!D32)</f>
        <v/>
      </c>
      <c r="E31" s="298" t="str">
        <f>IF('PKH-VKH-Rechner'!E32="","",'PKH-VKH-Rechner'!E32)</f>
        <v/>
      </c>
      <c r="F31" s="732"/>
      <c r="G31" s="182"/>
      <c r="H31" s="440" t="str">
        <f>IF('PKH-VKH-Rechner'!H32="","",'PKH-VKH-Rechner'!H32)</f>
        <v/>
      </c>
    </row>
    <row r="32" spans="1:8" x14ac:dyDescent="0.2">
      <c r="A32" s="333"/>
      <c r="B32" s="447" t="s">
        <v>83</v>
      </c>
      <c r="C32" s="182"/>
      <c r="D32" s="184" t="str">
        <f>IF('PKH-VKH-Rechner'!D33="","",'PKH-VKH-Rechner'!D33)</f>
        <v/>
      </c>
      <c r="E32" s="298" t="str">
        <f>IF('PKH-VKH-Rechner'!E33="","",'PKH-VKH-Rechner'!E33)</f>
        <v/>
      </c>
      <c r="F32" s="732"/>
      <c r="G32" s="182"/>
      <c r="H32" s="440" t="str">
        <f>IF('PKH-VKH-Rechner'!H33="","",'PKH-VKH-Rechner'!H33)</f>
        <v/>
      </c>
    </row>
    <row r="33" spans="1:8" x14ac:dyDescent="0.2">
      <c r="A33" s="333"/>
      <c r="B33" s="437" t="str">
        <f>IF('PKH-VKH-Rechner'!B34="","",'PKH-VKH-Rechner'!B34)</f>
        <v/>
      </c>
      <c r="C33" s="187"/>
      <c r="D33" s="184" t="str">
        <f>IF('PKH-VKH-Rechner'!D34="","",'PKH-VKH-Rechner'!D34)</f>
        <v/>
      </c>
      <c r="E33" s="298" t="str">
        <f>IF('PKH-VKH-Rechner'!E34="","",'PKH-VKH-Rechner'!E34)</f>
        <v/>
      </c>
      <c r="F33" s="733"/>
      <c r="G33" s="187"/>
      <c r="H33" s="440" t="str">
        <f>IF('PKH-VKH-Rechner'!H34="","",'PKH-VKH-Rechner'!H34)</f>
        <v/>
      </c>
    </row>
    <row r="34" spans="1:8" ht="13.5" thickBot="1" x14ac:dyDescent="0.25">
      <c r="A34" s="374"/>
      <c r="B34" s="212" t="str">
        <f>IF('PKH-VKH-Rechner'!B35="","",'PKH-VKH-Rechner'!B35)</f>
        <v/>
      </c>
      <c r="C34" s="174"/>
      <c r="D34" s="175" t="str">
        <f>IF('PKH-VKH-Rechner'!D35="","",'PKH-VKH-Rechner'!D35)</f>
        <v/>
      </c>
      <c r="E34" s="301" t="str">
        <f>IF('PKH-VKH-Rechner'!E35="","",'PKH-VKH-Rechner'!E35)</f>
        <v/>
      </c>
      <c r="F34" s="734"/>
      <c r="G34" s="174"/>
      <c r="H34" s="445" t="str">
        <f>IF('PKH-VKH-Rechner'!H35="","",'PKH-VKH-Rechner'!H35)</f>
        <v/>
      </c>
    </row>
    <row r="35" spans="1:8" ht="13.5" thickBot="1" x14ac:dyDescent="0.25">
      <c r="A35" s="142" t="s">
        <v>350</v>
      </c>
      <c r="B35" s="432" t="s">
        <v>351</v>
      </c>
      <c r="C35" s="198"/>
      <c r="D35" s="200" t="s">
        <v>341</v>
      </c>
      <c r="E35" s="200" t="s">
        <v>77</v>
      </c>
      <c r="F35" s="198"/>
      <c r="G35" s="198"/>
      <c r="H35" s="161"/>
    </row>
    <row r="36" spans="1:8" x14ac:dyDescent="0.2">
      <c r="A36" s="378"/>
      <c r="B36" s="446" t="s">
        <v>517</v>
      </c>
      <c r="C36" s="177"/>
      <c r="D36" s="179" t="str">
        <f>IF('PKH-VKH-Rechner'!D37="","",'PKH-VKH-Rechner'!D37)</f>
        <v/>
      </c>
      <c r="E36" s="292" t="str">
        <f>IF('PKH-VKH-Rechner'!E37="","",'PKH-VKH-Rechner'!E37)</f>
        <v/>
      </c>
      <c r="F36" s="731"/>
      <c r="G36" s="177"/>
      <c r="H36" s="436" t="str">
        <f>IF('PKH-VKH-Rechner'!H37="","",'PKH-VKH-Rechner'!H37)</f>
        <v/>
      </c>
    </row>
    <row r="37" spans="1:8" x14ac:dyDescent="0.2">
      <c r="A37" s="333"/>
      <c r="B37" s="447" t="s">
        <v>353</v>
      </c>
      <c r="C37" s="182"/>
      <c r="D37" s="184" t="str">
        <f>IF('PKH-VKH-Rechner'!D38="","",'PKH-VKH-Rechner'!D38)</f>
        <v/>
      </c>
      <c r="E37" s="298" t="str">
        <f>IF('PKH-VKH-Rechner'!E38="","",'PKH-VKH-Rechner'!E38)</f>
        <v/>
      </c>
      <c r="F37" s="732"/>
      <c r="G37" s="182"/>
      <c r="H37" s="440" t="str">
        <f>IF('PKH-VKH-Rechner'!H38="","",'PKH-VKH-Rechner'!H38)</f>
        <v/>
      </c>
    </row>
    <row r="38" spans="1:8" x14ac:dyDescent="0.2">
      <c r="A38" s="333"/>
      <c r="B38" s="447" t="s">
        <v>354</v>
      </c>
      <c r="C38" s="182"/>
      <c r="D38" s="184" t="str">
        <f>IF('PKH-VKH-Rechner'!D39="","",'PKH-VKH-Rechner'!D39)</f>
        <v/>
      </c>
      <c r="E38" s="298" t="str">
        <f>IF('PKH-VKH-Rechner'!E39="","",'PKH-VKH-Rechner'!E39)</f>
        <v/>
      </c>
      <c r="F38" s="732"/>
      <c r="G38" s="182"/>
      <c r="H38" s="440" t="str">
        <f>IF('PKH-VKH-Rechner'!H39="","",'PKH-VKH-Rechner'!H39)</f>
        <v/>
      </c>
    </row>
    <row r="39" spans="1:8" x14ac:dyDescent="0.2">
      <c r="A39" s="333"/>
      <c r="B39" s="570" t="s">
        <v>85</v>
      </c>
      <c r="C39" s="187"/>
      <c r="D39" s="184" t="str">
        <f>IF('PKH-VKH-Rechner'!D40="","",'PKH-VKH-Rechner'!D40)</f>
        <v/>
      </c>
      <c r="E39" s="298" t="str">
        <f>IF('PKH-VKH-Rechner'!E40="","",'PKH-VKH-Rechner'!E40)</f>
        <v/>
      </c>
      <c r="F39" s="733"/>
      <c r="G39" s="187"/>
      <c r="H39" s="440" t="str">
        <f>IF('PKH-VKH-Rechner'!H40="","",'PKH-VKH-Rechner'!H40)</f>
        <v/>
      </c>
    </row>
    <row r="40" spans="1:8" ht="13.5" thickBot="1" x14ac:dyDescent="0.25">
      <c r="A40" s="374"/>
      <c r="B40" s="448" t="s">
        <v>86</v>
      </c>
      <c r="C40" s="174"/>
      <c r="D40" s="175" t="str">
        <f>IF('PKH-VKH-Rechner'!D41="","",'PKH-VKH-Rechner'!D41)</f>
        <v/>
      </c>
      <c r="E40" s="301" t="str">
        <f>IF('PKH-VKH-Rechner'!E41="","",'PKH-VKH-Rechner'!E41)</f>
        <v/>
      </c>
      <c r="F40" s="734"/>
      <c r="G40" s="449"/>
      <c r="H40" s="445" t="str">
        <f>IF('PKH-VKH-Rechner'!H41="","",'PKH-VKH-Rechner'!H41)</f>
        <v/>
      </c>
    </row>
    <row r="41" spans="1:8" ht="13.5" thickBot="1" x14ac:dyDescent="0.25">
      <c r="A41" s="142" t="s">
        <v>355</v>
      </c>
      <c r="B41" s="432" t="s">
        <v>494</v>
      </c>
      <c r="C41" s="198"/>
      <c r="D41" s="200" t="s">
        <v>341</v>
      </c>
      <c r="E41" s="160"/>
      <c r="F41" s="730"/>
      <c r="G41" s="160"/>
      <c r="H41" s="161"/>
    </row>
    <row r="42" spans="1:8" x14ac:dyDescent="0.2">
      <c r="A42" s="433"/>
      <c r="B42" s="450" t="s">
        <v>495</v>
      </c>
      <c r="C42" s="160"/>
      <c r="D42" s="451">
        <f ca="1">'PKH-VKH-Rechner'!D43</f>
        <v>10000</v>
      </c>
      <c r="E42" s="452"/>
      <c r="F42" s="174"/>
      <c r="G42" s="174"/>
      <c r="H42" s="453"/>
    </row>
    <row r="43" spans="1:8" x14ac:dyDescent="0.2">
      <c r="A43" s="333"/>
      <c r="B43" s="147" t="s">
        <v>393</v>
      </c>
      <c r="C43" s="177"/>
      <c r="D43" s="179" t="str">
        <f>IF('PKH-VKH-Rechner'!D44="","",'PKH-VKH-Rechner'!D44)</f>
        <v/>
      </c>
      <c r="E43" s="177"/>
      <c r="F43" s="177"/>
      <c r="G43" s="177"/>
      <c r="H43" s="436" t="str">
        <f>IF('PKH-VKH-Rechner'!H44="","",'PKH-VKH-Rechner'!H44)</f>
        <v/>
      </c>
    </row>
    <row r="44" spans="1:8" x14ac:dyDescent="0.2">
      <c r="A44" s="416"/>
      <c r="B44" s="447" t="s">
        <v>87</v>
      </c>
      <c r="C44" s="182"/>
      <c r="D44" s="184" t="str">
        <f>IF('PKH-VKH-Rechner'!D45="","",'PKH-VKH-Rechner'!D45)</f>
        <v/>
      </c>
      <c r="E44" s="182"/>
      <c r="F44" s="182"/>
      <c r="G44" s="182"/>
      <c r="H44" s="440" t="str">
        <f>IF('PKH-VKH-Rechner'!H45="","",'PKH-VKH-Rechner'!H45)</f>
        <v/>
      </c>
    </row>
    <row r="45" spans="1:8" x14ac:dyDescent="0.2">
      <c r="A45" s="416"/>
      <c r="B45" s="447" t="s">
        <v>394</v>
      </c>
      <c r="C45" s="182"/>
      <c r="D45" s="184" t="str">
        <f>IF('PKH-VKH-Rechner'!D46="","",'PKH-VKH-Rechner'!D46)</f>
        <v/>
      </c>
      <c r="E45" s="182"/>
      <c r="F45" s="182"/>
      <c r="G45" s="182"/>
      <c r="H45" s="440" t="str">
        <f>IF('PKH-VKH-Rechner'!H46="","",'PKH-VKH-Rechner'!H46)</f>
        <v/>
      </c>
    </row>
    <row r="46" spans="1:8" x14ac:dyDescent="0.2">
      <c r="A46" s="416"/>
      <c r="B46" s="447" t="s">
        <v>88</v>
      </c>
      <c r="C46" s="182"/>
      <c r="D46" s="184" t="str">
        <f>IF('PKH-VKH-Rechner'!D47="","",'PKH-VKH-Rechner'!D47)</f>
        <v/>
      </c>
      <c r="E46" s="182"/>
      <c r="F46" s="182"/>
      <c r="G46" s="182"/>
      <c r="H46" s="440" t="str">
        <f>IF('PKH-VKH-Rechner'!H47="","",'PKH-VKH-Rechner'!H47)</f>
        <v/>
      </c>
    </row>
    <row r="47" spans="1:8" x14ac:dyDescent="0.2">
      <c r="A47" s="416"/>
      <c r="B47" s="570" t="s">
        <v>89</v>
      </c>
      <c r="C47" s="187"/>
      <c r="D47" s="184" t="str">
        <f>IF('PKH-VKH-Rechner'!D48="","",'PKH-VKH-Rechner'!D48)</f>
        <v/>
      </c>
      <c r="E47" s="187"/>
      <c r="F47" s="187"/>
      <c r="G47" s="187"/>
      <c r="H47" s="440" t="str">
        <f>IF('PKH-VKH-Rechner'!H48="","",'PKH-VKH-Rechner'!H48)</f>
        <v/>
      </c>
    </row>
    <row r="48" spans="1:8" ht="13.5" thickBot="1" x14ac:dyDescent="0.25">
      <c r="A48" s="454"/>
      <c r="B48" s="448" t="s">
        <v>395</v>
      </c>
      <c r="C48" s="174"/>
      <c r="D48" s="175" t="str">
        <f>IF('PKH-VKH-Rechner'!D49="","",'PKH-VKH-Rechner'!D49)</f>
        <v/>
      </c>
      <c r="E48" s="174"/>
      <c r="F48" s="174"/>
      <c r="G48" s="449"/>
      <c r="H48" s="445" t="str">
        <f>IF('PKH-VKH-Rechner'!H49="","",'PKH-VKH-Rechner'!H49)</f>
        <v/>
      </c>
    </row>
    <row r="49" spans="1:8" ht="13.5" thickBot="1" x14ac:dyDescent="0.25">
      <c r="A49" s="142" t="s">
        <v>356</v>
      </c>
      <c r="B49" s="432" t="s">
        <v>357</v>
      </c>
      <c r="C49" s="198"/>
      <c r="D49" s="200" t="s">
        <v>341</v>
      </c>
      <c r="E49" s="200" t="s">
        <v>77</v>
      </c>
      <c r="F49" s="198"/>
      <c r="G49" s="198"/>
      <c r="H49" s="161"/>
    </row>
    <row r="50" spans="1:8" ht="13.5" thickBot="1" x14ac:dyDescent="0.25">
      <c r="A50" s="361"/>
      <c r="B50" s="426" t="s">
        <v>359</v>
      </c>
      <c r="C50" s="164"/>
      <c r="D50" s="455" t="str">
        <f>IF('PKH-VKH-Rechner'!D51="","",'PKH-VKH-Rechner'!D51)</f>
        <v/>
      </c>
      <c r="E50" s="163" t="str">
        <f>IF('PKH-VKH-Rechner'!E51="","",'PKH-VKH-Rechner'!E51)</f>
        <v/>
      </c>
      <c r="F50" s="736"/>
      <c r="G50" s="718"/>
      <c r="H50" s="427" t="str">
        <f>IF('PKH-VKH-Rechner'!H51="","",'PKH-VKH-Rechner'!H51)</f>
        <v/>
      </c>
    </row>
    <row r="51" spans="1:8" ht="13.5" thickBot="1" x14ac:dyDescent="0.25">
      <c r="A51" s="142" t="s">
        <v>360</v>
      </c>
      <c r="B51" s="432" t="s">
        <v>361</v>
      </c>
      <c r="C51" s="198"/>
      <c r="D51" s="200" t="s">
        <v>341</v>
      </c>
      <c r="E51" s="200" t="s">
        <v>77</v>
      </c>
      <c r="F51" s="198"/>
      <c r="G51" s="198"/>
      <c r="H51" s="161"/>
    </row>
    <row r="52" spans="1:8" x14ac:dyDescent="0.2">
      <c r="A52" s="433"/>
      <c r="B52" s="456" t="str">
        <f>IF('PKH-VKH-Rechner'!B53="","",'PKH-VKH-Rechner'!B53)</f>
        <v/>
      </c>
      <c r="C52" s="177"/>
      <c r="D52" s="179" t="str">
        <f>IF('PKH-VKH-Rechner'!D53="","",'PKH-VKH-Rechner'!D53)</f>
        <v/>
      </c>
      <c r="E52" s="292" t="str">
        <f>IF('PKH-VKH-Rechner'!E53="","",'PKH-VKH-Rechner'!E53)</f>
        <v/>
      </c>
      <c r="F52" s="731"/>
      <c r="G52" s="177"/>
      <c r="H52" s="436" t="str">
        <f>IF('PKH-VKH-Rechner'!H53="","",'PKH-VKH-Rechner'!H53)</f>
        <v/>
      </c>
    </row>
    <row r="53" spans="1:8" x14ac:dyDescent="0.2">
      <c r="A53" s="416"/>
      <c r="B53" s="572" t="str">
        <f>IF('PKH-VKH-Rechner'!B54="","",'PKH-VKH-Rechner'!B54)</f>
        <v/>
      </c>
      <c r="C53" s="50"/>
      <c r="D53" s="208" t="str">
        <f>IF('PKH-VKH-Rechner'!D54="","",'PKH-VKH-Rechner'!D54)</f>
        <v/>
      </c>
      <c r="E53" s="571" t="str">
        <f>IF('PKH-VKH-Rechner'!E54="","",'PKH-VKH-Rechner'!E54)</f>
        <v/>
      </c>
      <c r="F53" s="307"/>
      <c r="G53" s="50"/>
      <c r="H53" s="710" t="str">
        <f>IF('PKH-VKH-Rechner'!H54="","",'PKH-VKH-Rechner'!H54)</f>
        <v/>
      </c>
    </row>
    <row r="54" spans="1:8" ht="13.5" thickBot="1" x14ac:dyDescent="0.25">
      <c r="A54" s="454"/>
      <c r="B54" s="212" t="str">
        <f>IF('PKH-VKH-Rechner'!B55="","",'PKH-VKH-Rechner'!B55)</f>
        <v/>
      </c>
      <c r="C54" s="174"/>
      <c r="D54" s="175" t="str">
        <f>IF('PKH-VKH-Rechner'!D55="","",'PKH-VKH-Rechner'!D55)</f>
        <v/>
      </c>
      <c r="E54" s="301" t="str">
        <f>IF('PKH-VKH-Rechner'!E55="","",'PKH-VKH-Rechner'!E55)</f>
        <v/>
      </c>
      <c r="F54" s="737"/>
      <c r="G54" s="449"/>
      <c r="H54" s="445" t="str">
        <f>IF('PKH-VKH-Rechner'!H55="","",'PKH-VKH-Rechner'!H55)</f>
        <v/>
      </c>
    </row>
    <row r="55" spans="1:8" ht="13.5" thickBot="1" x14ac:dyDescent="0.25">
      <c r="A55" s="142" t="s">
        <v>362</v>
      </c>
      <c r="B55" s="432" t="s">
        <v>363</v>
      </c>
      <c r="C55" s="198"/>
      <c r="D55" s="200" t="s">
        <v>341</v>
      </c>
      <c r="E55" s="200" t="s">
        <v>77</v>
      </c>
      <c r="F55" s="198"/>
      <c r="G55" s="198"/>
      <c r="H55" s="161"/>
    </row>
    <row r="56" spans="1:8" x14ac:dyDescent="0.2">
      <c r="A56" s="433"/>
      <c r="B56" s="456" t="str">
        <f>IF('PKH-VKH-Rechner'!B57="","",'PKH-VKH-Rechner'!B57)</f>
        <v/>
      </c>
      <c r="C56" s="177"/>
      <c r="D56" s="179" t="str">
        <f>IF('PKH-VKH-Rechner'!D57="","",'PKH-VKH-Rechner'!D57)</f>
        <v/>
      </c>
      <c r="E56" s="292" t="str">
        <f>IF('PKH-VKH-Rechner'!E57="","",'PKH-VKH-Rechner'!E57)</f>
        <v/>
      </c>
      <c r="F56" s="731"/>
      <c r="G56" s="177"/>
      <c r="H56" s="436" t="str">
        <f>IF('PKH-VKH-Rechner'!H57="","",'PKH-VKH-Rechner'!H57)</f>
        <v/>
      </c>
    </row>
    <row r="57" spans="1:8" x14ac:dyDescent="0.2">
      <c r="A57" s="416"/>
      <c r="B57" s="724" t="str">
        <f>IF('PKH-VKH-Rechner'!B58="","",'PKH-VKH-Rechner'!B58)</f>
        <v/>
      </c>
      <c r="C57" s="187"/>
      <c r="D57" s="189" t="str">
        <f>IF('PKH-VKH-Rechner'!D58="","",'PKH-VKH-Rechner'!D58)</f>
        <v/>
      </c>
      <c r="E57" s="457" t="str">
        <f>IF('PKH-VKH-Rechner'!E58="","",'PKH-VKH-Rechner'!E58)</f>
        <v/>
      </c>
      <c r="F57" s="733"/>
      <c r="G57" s="187"/>
      <c r="H57" s="725" t="str">
        <f>IF('PKH-VKH-Rechner'!H58="","",'PKH-VKH-Rechner'!H58)</f>
        <v/>
      </c>
    </row>
    <row r="58" spans="1:8" x14ac:dyDescent="0.2">
      <c r="A58" s="284"/>
      <c r="B58" s="738" t="s">
        <v>682</v>
      </c>
      <c r="C58" s="198"/>
      <c r="D58" s="200" t="s">
        <v>341</v>
      </c>
      <c r="E58" s="200" t="s">
        <v>77</v>
      </c>
      <c r="F58" s="198"/>
      <c r="G58" s="198"/>
      <c r="H58" s="739"/>
    </row>
    <row r="59" spans="1:8" x14ac:dyDescent="0.2">
      <c r="A59" s="284"/>
      <c r="B59" s="456" t="str">
        <f>IF('PKH-VKH-Rechner'!B60="","",'PKH-VKH-Rechner'!B60)</f>
        <v/>
      </c>
      <c r="C59" s="177"/>
      <c r="D59" s="179" t="str">
        <f>IF('PKH-VKH-Rechner'!D60="","",'PKH-VKH-Rechner'!D60)</f>
        <v/>
      </c>
      <c r="E59" s="292" t="str">
        <f>IF('PKH-VKH-Rechner'!E60="","",'PKH-VKH-Rechner'!E60)</f>
        <v/>
      </c>
      <c r="F59" s="731"/>
      <c r="G59" s="177"/>
      <c r="H59" s="436" t="str">
        <f>IF('PKH-VKH-Rechner'!H60="","",'PKH-VKH-Rechner'!H60)</f>
        <v/>
      </c>
    </row>
    <row r="60" spans="1:8" ht="13.5" thickBot="1" x14ac:dyDescent="0.25">
      <c r="A60" s="284"/>
      <c r="B60" s="724" t="str">
        <f>IF('PKH-VKH-Rechner'!B61="","",'PKH-VKH-Rechner'!B61)</f>
        <v/>
      </c>
      <c r="C60" s="187"/>
      <c r="D60" s="189" t="str">
        <f>IF('PKH-VKH-Rechner'!D61="","",'PKH-VKH-Rechner'!D61)</f>
        <v/>
      </c>
      <c r="E60" s="236" t="str">
        <f>IF('PKH-VKH-Rechner'!E61="","",'PKH-VKH-Rechner'!E61)</f>
        <v/>
      </c>
      <c r="F60" s="733"/>
      <c r="G60" s="187"/>
      <c r="H60" s="725" t="str">
        <f>IF('PKH-VKH-Rechner'!H61="","",'PKH-VKH-Rechner'!H61)</f>
        <v/>
      </c>
    </row>
    <row r="61" spans="1:8" ht="13.5" thickBot="1" x14ac:dyDescent="0.25">
      <c r="A61" s="284"/>
      <c r="B61" s="388"/>
      <c r="C61" s="458"/>
      <c r="D61" s="459"/>
      <c r="E61" s="740"/>
      <c r="F61" s="459"/>
      <c r="G61" s="458"/>
      <c r="H61" s="458"/>
    </row>
    <row r="62" spans="1:8" ht="13.5" thickBot="1" x14ac:dyDescent="0.25">
      <c r="A62" s="142" t="s">
        <v>29</v>
      </c>
      <c r="B62" s="146" t="s">
        <v>496</v>
      </c>
      <c r="C62" s="156"/>
      <c r="D62" s="460"/>
      <c r="E62" s="460"/>
      <c r="F62" s="460"/>
      <c r="G62" s="156"/>
      <c r="H62" s="157"/>
    </row>
    <row r="63" spans="1:8" x14ac:dyDescent="0.2">
      <c r="A63" s="416"/>
      <c r="B63" s="446" t="s">
        <v>413</v>
      </c>
      <c r="C63" s="177"/>
      <c r="D63" s="204">
        <f>IF('PKH-VKH-Rechner'!D64="","",'PKH-VKH-Rechner'!D64)</f>
        <v>10000</v>
      </c>
      <c r="E63" s="461"/>
      <c r="F63" s="461"/>
      <c r="G63" s="177"/>
      <c r="H63" s="462"/>
    </row>
    <row r="64" spans="1:8" x14ac:dyDescent="0.2">
      <c r="A64" s="416"/>
      <c r="B64" s="463" t="s">
        <v>396</v>
      </c>
      <c r="C64" s="50"/>
      <c r="D64" s="225">
        <f ca="1">IF('PKH-VKH-Rechner'!D65="","",'PKH-VKH-Rechner'!D65)</f>
        <v>2812.5</v>
      </c>
      <c r="E64" s="464"/>
      <c r="F64" s="464"/>
      <c r="G64" s="207"/>
      <c r="H64" s="711"/>
    </row>
    <row r="65" spans="1:8" x14ac:dyDescent="0.2">
      <c r="A65" s="416"/>
      <c r="B65" s="414" t="s">
        <v>679</v>
      </c>
      <c r="C65" s="199" t="str">
        <f>IF('PKH-VKH-Rechner'!P66=TRUE,"ja","nein")</f>
        <v>ja</v>
      </c>
      <c r="D65" s="713"/>
      <c r="E65" s="709"/>
      <c r="F65" s="709"/>
      <c r="G65" s="50"/>
      <c r="H65" s="712"/>
    </row>
    <row r="66" spans="1:8" ht="13.5" thickBot="1" x14ac:dyDescent="0.25">
      <c r="A66" s="416"/>
      <c r="B66" s="418" t="s">
        <v>382</v>
      </c>
      <c r="C66" s="194"/>
      <c r="D66" s="465" t="str">
        <f>IF('PKH-VKH-Rechner'!D67="","",'PKH-VKH-Rechner'!D67)</f>
        <v/>
      </c>
      <c r="E66" s="466"/>
      <c r="F66" s="466"/>
      <c r="G66" s="235"/>
      <c r="H66" s="467" t="str">
        <f>IF('PKH-VKH-Rechner'!H67="","",'PKH-VKH-Rechner'!H67)</f>
        <v/>
      </c>
    </row>
    <row r="67" spans="1:8" ht="13.5" thickBot="1" x14ac:dyDescent="0.25">
      <c r="B67" s="409"/>
      <c r="C67" s="138"/>
      <c r="D67" s="138"/>
      <c r="E67" s="138"/>
      <c r="F67" s="138"/>
      <c r="G67" s="138"/>
      <c r="H67" s="138"/>
    </row>
    <row r="68" spans="1:8" ht="13.5" thickBot="1" x14ac:dyDescent="0.25">
      <c r="A68" s="142" t="s">
        <v>30</v>
      </c>
      <c r="B68" s="146" t="s">
        <v>427</v>
      </c>
      <c r="C68" s="156"/>
      <c r="D68" s="156"/>
      <c r="E68" s="157"/>
      <c r="F68" s="50"/>
    </row>
    <row r="69" spans="1:8" x14ac:dyDescent="0.2">
      <c r="A69" s="333"/>
      <c r="B69" s="446" t="s">
        <v>365</v>
      </c>
      <c r="C69" s="177"/>
      <c r="D69" s="204">
        <f>IF('PKH-VKH-Rechner'!D70="","",'PKH-VKH-Rechner'!D70)</f>
        <v>0</v>
      </c>
      <c r="E69" s="205">
        <f>IF('PKH-VKH-Rechner'!E70="","",'PKH-VKH-Rechner'!E70)</f>
        <v>0</v>
      </c>
      <c r="F69" s="709"/>
    </row>
    <row r="70" spans="1:8" x14ac:dyDescent="0.2">
      <c r="A70" s="333"/>
      <c r="B70" s="447" t="s">
        <v>815</v>
      </c>
      <c r="C70" s="182"/>
      <c r="D70" s="222">
        <f>IF('PKH-VKH-Rechner'!D71="","",'PKH-VKH-Rechner'!D71)</f>
        <v>0</v>
      </c>
      <c r="E70" s="223">
        <f>IF('PKH-VKH-Rechner'!E71="","",'PKH-VKH-Rechner'!E71)</f>
        <v>0</v>
      </c>
      <c r="F70" s="709"/>
    </row>
    <row r="71" spans="1:8" x14ac:dyDescent="0.2">
      <c r="A71" s="333"/>
      <c r="B71" s="447" t="s">
        <v>76</v>
      </c>
      <c r="C71" s="182"/>
      <c r="D71" s="222">
        <f ca="1">IF('PKH-VKH-Rechner'!D72="","",'PKH-VKH-Rechner'!D72)</f>
        <v>0</v>
      </c>
      <c r="E71" s="223"/>
      <c r="F71" s="709"/>
    </row>
    <row r="72" spans="1:8" x14ac:dyDescent="0.2">
      <c r="A72" s="333"/>
      <c r="B72" s="447" t="s">
        <v>33</v>
      </c>
      <c r="C72" s="182"/>
      <c r="D72" s="222">
        <f ca="1">IF('PKH-VKH-Rechner'!D73="","",'PKH-VKH-Rechner'!D73)</f>
        <v>619</v>
      </c>
      <c r="E72" s="223"/>
      <c r="F72" s="709"/>
    </row>
    <row r="73" spans="1:8" x14ac:dyDescent="0.2">
      <c r="A73" s="333"/>
      <c r="B73" s="447" t="s">
        <v>32</v>
      </c>
      <c r="C73" s="182"/>
      <c r="D73" s="222">
        <f ca="1">IF('PKH-VKH-Rechner'!D74="","",'PKH-VKH-Rechner'!D74)</f>
        <v>0</v>
      </c>
      <c r="E73" s="223"/>
      <c r="F73" s="709"/>
    </row>
    <row r="74" spans="1:8" x14ac:dyDescent="0.2">
      <c r="A74" s="333"/>
      <c r="B74" s="570" t="str">
        <f>"= verfügbares Einkommen"</f>
        <v>= verfügbares Einkommen</v>
      </c>
      <c r="C74" s="187"/>
      <c r="D74" s="222">
        <f ca="1">IF('PKH-VKH-Rechner'!D75="","",'PKH-VKH-Rechner'!D75)</f>
        <v>-619</v>
      </c>
      <c r="E74" s="226">
        <f>IF('PKH-VKH-Rechner'!E75="","",'PKH-VKH-Rechner'!E75)</f>
        <v>0</v>
      </c>
      <c r="F74" s="709"/>
    </row>
    <row r="75" spans="1:8" x14ac:dyDescent="0.2">
      <c r="A75" s="333"/>
      <c r="B75" s="468" t="s">
        <v>414</v>
      </c>
      <c r="C75" s="174"/>
      <c r="D75" s="175">
        <f ca="1">IF('PKH-VKH-Rechner'!D76="","",'PKH-VKH-Rechner'!D76)</f>
        <v>0</v>
      </c>
      <c r="E75" s="304">
        <f ca="1">IF('PKH-VKH-Rechner'!E76="","",'PKH-VKH-Rechner'!E76)</f>
        <v>0</v>
      </c>
      <c r="F75" s="307"/>
    </row>
    <row r="76" spans="1:8" ht="13.5" thickBot="1" x14ac:dyDescent="0.25">
      <c r="A76" s="333"/>
      <c r="B76" s="469" t="s">
        <v>398</v>
      </c>
      <c r="C76" s="194"/>
      <c r="D76" s="465">
        <f ca="1">IF('PKH-VKH-Rechner'!D77="","",'PKH-VKH-Rechner'!D77)</f>
        <v>0</v>
      </c>
      <c r="E76" s="470"/>
      <c r="F76" s="50"/>
    </row>
    <row r="77" spans="1:8" ht="13.5" thickBot="1" x14ac:dyDescent="0.25">
      <c r="B77" s="471"/>
      <c r="C77" s="138"/>
      <c r="D77" s="472"/>
      <c r="E77" s="473"/>
      <c r="F77" s="473"/>
    </row>
    <row r="78" spans="1:8" ht="13.5" thickBot="1" x14ac:dyDescent="0.25">
      <c r="A78" s="142" t="s">
        <v>31</v>
      </c>
      <c r="B78" s="474" t="s">
        <v>399</v>
      </c>
      <c r="C78" s="156"/>
      <c r="D78" s="460"/>
      <c r="E78" s="475"/>
      <c r="F78" s="735"/>
    </row>
    <row r="79" spans="1:8" x14ac:dyDescent="0.2">
      <c r="A79" s="333"/>
      <c r="B79" s="476" t="s">
        <v>367</v>
      </c>
      <c r="C79" s="869" t="str">
        <f ca="1">IF('PKH-VKH-Rechner'!C80="","",'PKH-VKH-Rechner'!C80)</f>
        <v>ja</v>
      </c>
      <c r="D79" s="870"/>
      <c r="E79" s="477"/>
      <c r="F79" s="735"/>
    </row>
    <row r="80" spans="1:8" x14ac:dyDescent="0.2">
      <c r="A80" s="49"/>
      <c r="B80" s="447" t="s">
        <v>318</v>
      </c>
      <c r="C80" s="871" t="str">
        <f ca="1">IF('PKH-VKH-Rechner'!C81="","",'PKH-VKH-Rechner'!C81)</f>
        <v>nein</v>
      </c>
      <c r="D80" s="872"/>
      <c r="E80" s="478">
        <f ca="1">IF('PKH-VKH-Rechner'!E81="","",'PKH-VKH-Rechner'!E81)</f>
        <v>0</v>
      </c>
      <c r="F80" s="307"/>
    </row>
    <row r="81" spans="1:8" ht="13.5" thickBot="1" x14ac:dyDescent="0.25">
      <c r="A81" s="49"/>
      <c r="B81" s="418" t="s">
        <v>321</v>
      </c>
      <c r="C81" s="873" t="str">
        <f ca="1">IF('PKH-VKH-Rechner'!C82="","",'PKH-VKH-Rechner'!C82)</f>
        <v>nein</v>
      </c>
      <c r="D81" s="874"/>
      <c r="E81" s="479">
        <f ca="1">IF('PKH-VKH-Rechner'!E82="","",'PKH-VKH-Rechner'!E82)</f>
        <v>0</v>
      </c>
      <c r="F81" s="307"/>
    </row>
    <row r="82" spans="1:8" x14ac:dyDescent="0.2">
      <c r="B82" s="409"/>
      <c r="C82" s="138"/>
      <c r="D82" s="138"/>
      <c r="E82" s="138"/>
      <c r="F82" s="138"/>
      <c r="G82" s="138"/>
      <c r="H82" s="138"/>
    </row>
    <row r="83" spans="1:8" x14ac:dyDescent="0.2">
      <c r="B83" s="282" t="str">
        <f>Übersicht!A30</f>
        <v>Haftungsausschluss</v>
      </c>
      <c r="C83" s="138"/>
      <c r="D83" s="138"/>
      <c r="E83" s="138"/>
      <c r="F83" s="138"/>
      <c r="G83" s="138"/>
      <c r="H83" s="138"/>
    </row>
    <row r="84" spans="1:8" x14ac:dyDescent="0.2">
      <c r="B84" s="58" t="str">
        <f>Übersicht!A31</f>
        <v>Für die Richtigkeit der rechtlichen Bewertungen und der Berechnungsergebnisse besteht trotz sorgfältiger Bearbeitung und Prüfung keine Gewähr.</v>
      </c>
      <c r="C84" s="138"/>
      <c r="D84" s="138"/>
      <c r="E84" s="138"/>
      <c r="F84" s="138"/>
      <c r="G84" s="138"/>
      <c r="H84" s="138"/>
    </row>
    <row r="85" spans="1:8" x14ac:dyDescent="0.2">
      <c r="B85" s="480"/>
    </row>
    <row r="86" spans="1:8" x14ac:dyDescent="0.2">
      <c r="B86" s="119" t="str">
        <f>Übersicht!A44</f>
        <v>Rechtsgrundlagen</v>
      </c>
    </row>
    <row r="87" spans="1:8" x14ac:dyDescent="0.2">
      <c r="B87" s="51" t="str">
        <f>Übersicht!A45</f>
        <v>BarbetrV: Verordnung zur Durchführung des § 90 Abs. 2 Nr. 9 des SGB XII, zuletzt geändert durch Gesetz vom 16.12.2022 (BGBl. I S. 2328)</v>
      </c>
    </row>
    <row r="88" spans="1:8" x14ac:dyDescent="0.2">
      <c r="B88" s="51" t="str">
        <f>Übersicht!A47</f>
        <v>GKG: Gerichtskostengesetz, zuletzt geändert durch Gesetz vom 20.05.2026 (BGBl. I Nr. 152)</v>
      </c>
    </row>
    <row r="89" spans="1:8" x14ac:dyDescent="0.2">
      <c r="B89" s="51" t="str">
        <f>Übersicht!A48</f>
        <v>PKHB 2026: Prozesskostenhilfebekanntmachung 2026 vom 19.12.2025 (BGBl. I Nr. 360)</v>
      </c>
    </row>
    <row r="90" spans="1:8" x14ac:dyDescent="0.2">
      <c r="B90" s="51" t="str">
        <f>Übersicht!A49</f>
        <v>PKHFV: Prozesskostenhilfeformularverordnung vom 06.01.2014 (BGBl. I S. 34)</v>
      </c>
    </row>
    <row r="91" spans="1:8" x14ac:dyDescent="0.2">
      <c r="B91" s="51" t="str">
        <f>Übersicht!A50</f>
        <v>RVG: Rechtsanwaltsvergütungsgesetz, zuletzt geändert durch Gesetz vom 08.12.2025 (BGBl. I Nr. 318)</v>
      </c>
    </row>
    <row r="92" spans="1:8" x14ac:dyDescent="0.2">
      <c r="B92" s="51" t="str">
        <f>Übersicht!A51</f>
        <v>SGB II: Sozialgesetzbuch Zweites Buch, zuletzt geändert durch Gesetz vom 16.04.2026 (BGBl. I Nr. 107)</v>
      </c>
    </row>
    <row r="93" spans="1:8" x14ac:dyDescent="0.2">
      <c r="B93" s="51" t="str">
        <f>Übersicht!A52</f>
        <v>SGB XII: Sozialgesetzbuch Zwölftes Buch, zuletzt geändert durch Gesetz vom 16.04.2026 (BGBl. I Nr. 107)</v>
      </c>
    </row>
    <row r="94" spans="1:8" x14ac:dyDescent="0.2">
      <c r="B94" s="51" t="str">
        <f>Übersicht!A55</f>
        <v>ZPO: Zivilprozessordnung, zuletzt geändert durch Gesetz vom 20.05.2026 (BGBl. I Nr. 152)</v>
      </c>
    </row>
    <row r="96" spans="1:8" x14ac:dyDescent="0.2">
      <c r="B96" s="481" t="str">
        <f>Übersicht!A70</f>
        <v>www.zivilprozessrechner.de</v>
      </c>
    </row>
  </sheetData>
  <sheetProtection sheet="1" objects="1" scenarios="1"/>
  <mergeCells count="5">
    <mergeCell ref="D10:E10"/>
    <mergeCell ref="C79:D79"/>
    <mergeCell ref="C80:D80"/>
    <mergeCell ref="C81:D81"/>
    <mergeCell ref="C11:D11"/>
  </mergeCells>
  <phoneticPr fontId="0" type="noConversion"/>
  <conditionalFormatting sqref="E80:F80">
    <cfRule type="expression" dxfId="1" priority="1" stopIfTrue="1">
      <formula>OR(C79="nein",E80=0)</formula>
    </cfRule>
  </conditionalFormatting>
  <conditionalFormatting sqref="E81:F81">
    <cfRule type="expression" dxfId="0" priority="2" stopIfTrue="1">
      <formula>OR(C79="nein",E81=0)</formula>
    </cfRule>
  </conditionalFormatting>
  <pageMargins left="0.98425196850393704" right="0.59055118110236227" top="0.59055118110236227" bottom="0.59055118110236227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Übersicht</vt:lpstr>
      <vt:lpstr>Prozesskostenrechner</vt:lpstr>
      <vt:lpstr>Kostenquotenrechner</vt:lpstr>
      <vt:lpstr>PKH-VKH-Rechner</vt:lpstr>
      <vt:lpstr>Zinsrechner</vt:lpstr>
      <vt:lpstr>Fristenrechner</vt:lpstr>
      <vt:lpstr>Druckansicht Prozesskosten</vt:lpstr>
      <vt:lpstr>Druckansicht Kostenquoten</vt:lpstr>
      <vt:lpstr>Druckansicht PKH-VKH</vt:lpstr>
      <vt:lpstr>HF_PKR</vt:lpstr>
      <vt:lpstr>HF_KQR</vt:lpstr>
      <vt:lpstr>HF_PKH</vt:lpstr>
      <vt:lpstr>HF_ZR</vt:lpstr>
      <vt:lpstr>HF_FR</vt:lpstr>
      <vt:lpstr>FT_FR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Dölling, Dr. Birger</cp:lastModifiedBy>
  <cp:lastPrinted>2021-06-29T13:40:46Z</cp:lastPrinted>
  <dcterms:created xsi:type="dcterms:W3CDTF">1996-10-17T05:27:31Z</dcterms:created>
  <dcterms:modified xsi:type="dcterms:W3CDTF">2026-06-30T14:46:08Z</dcterms:modified>
</cp:coreProperties>
</file>